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报价计算表" sheetId="2" r:id="rId1"/>
    <sheet name="还款计划表" sheetId="6" r:id="rId2"/>
    <sheet name="IRR" sheetId="5" state="hidden" r:id="rId3"/>
    <sheet name="参数范围" sheetId="4" r:id="rId4"/>
    <sheet name="PBOC贷款基准利率" sheetId="3" state="hidden" r:id="rId5"/>
  </sheets>
  <definedNames>
    <definedName name="prin1" localSheetId="1">还款计划表!$B$6</definedName>
    <definedName name="rate" localSheetId="1">还款计划表!$B$7</definedName>
    <definedName name="solver_adj" localSheetId="2" hidden="1">IRR!$B$5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ng" localSheetId="0" hidden="1">1</definedName>
    <definedName name="solver_est" localSheetId="2" hidden="1">1</definedName>
    <definedName name="solver_itr" localSheetId="2" hidden="1">2147483647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eg" localSheetId="0" hidden="1">1</definedName>
    <definedName name="solver_nod" localSheetId="2" hidden="1">2147483647</definedName>
    <definedName name="solver_num" localSheetId="2" hidden="1">0</definedName>
    <definedName name="solver_num" localSheetId="0" hidden="1">0</definedName>
    <definedName name="solver_nwt" localSheetId="2" hidden="1">1</definedName>
    <definedName name="solver_opt" localSheetId="2" hidden="1">IRR!$A$11</definedName>
    <definedName name="solver_opt" localSheetId="0" hidden="1">报价计算表!#REF!</definedName>
    <definedName name="solver_pre" localSheetId="2" hidden="1">0.000001</definedName>
    <definedName name="solver_rbv" localSheetId="2" hidden="1">1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3</definedName>
    <definedName name="solver_typ" localSheetId="0" hidden="1">1</definedName>
    <definedName name="solver_val" localSheetId="2" hidden="1">0</definedName>
    <definedName name="solver_val" localSheetId="0" hidden="1">0</definedName>
    <definedName name="solver_ver" localSheetId="2" hidden="1">3</definedName>
    <definedName name="solver_ver" localSheetId="0" hidden="1">3</definedName>
  </definedNames>
  <calcPr calcId="152511"/>
</workbook>
</file>

<file path=xl/calcChain.xml><?xml version="1.0" encoding="utf-8"?>
<calcChain xmlns="http://schemas.openxmlformats.org/spreadsheetml/2006/main">
  <c r="E4" i="6" l="1"/>
  <c r="E3" i="6"/>
  <c r="D6" i="2"/>
  <c r="B7" i="6" s="1"/>
  <c r="E8" i="6"/>
  <c r="B16" i="6" s="1"/>
  <c r="D4" i="2"/>
  <c r="E4" i="2" s="1"/>
  <c r="B6" i="6" s="1"/>
  <c r="B4" i="6"/>
  <c r="B3" i="6"/>
  <c r="E5" i="6" l="1"/>
  <c r="B5" i="6"/>
  <c r="A5" i="5"/>
  <c r="B8" i="2" l="1"/>
  <c r="B8" i="6" s="1"/>
  <c r="N5" i="4"/>
  <c r="N6" i="4"/>
  <c r="N7" i="4"/>
  <c r="N4" i="4"/>
  <c r="C17" i="6" l="1"/>
  <c r="G8" i="2"/>
  <c r="D16" i="6" l="1"/>
  <c r="D17" i="6"/>
  <c r="I16" i="6"/>
  <c r="B17" i="6"/>
  <c r="C18" i="6"/>
  <c r="B9" i="6"/>
  <c r="A11" i="5"/>
  <c r="H16" i="6" l="1"/>
  <c r="F16" i="6"/>
  <c r="D18" i="6"/>
  <c r="B18" i="6"/>
  <c r="C19" i="6"/>
  <c r="D19" i="6" s="1"/>
  <c r="J16" i="6" l="1"/>
  <c r="G16" i="6" s="1"/>
  <c r="E16" i="6"/>
  <c r="I17" i="6"/>
  <c r="B19" i="6"/>
  <c r="C20" i="6"/>
  <c r="D20" i="6" s="1"/>
  <c r="F17" i="6" l="1"/>
  <c r="H17" i="6"/>
  <c r="C21" i="6"/>
  <c r="D21" i="6" s="1"/>
  <c r="B20" i="6"/>
  <c r="B21" i="6" s="1"/>
  <c r="E17" i="6" l="1"/>
  <c r="I18" i="6"/>
  <c r="J17" i="6"/>
  <c r="C22" i="6"/>
  <c r="B22" i="6" l="1"/>
  <c r="D22" i="6"/>
  <c r="F18" i="6"/>
  <c r="H18" i="6"/>
  <c r="J18" i="6" s="1"/>
  <c r="G17" i="6"/>
  <c r="C23" i="6"/>
  <c r="D23" i="6" s="1"/>
  <c r="G18" i="6" l="1"/>
  <c r="E18" i="6"/>
  <c r="I19" i="6"/>
  <c r="C24" i="6"/>
  <c r="D24" i="6" s="1"/>
  <c r="B23" i="6"/>
  <c r="H19" i="6" l="1"/>
  <c r="F19" i="6"/>
  <c r="C25" i="6"/>
  <c r="D25" i="6" s="1"/>
  <c r="B24" i="6"/>
  <c r="B25" i="6" s="1"/>
  <c r="E19" i="6" l="1"/>
  <c r="J19" i="6"/>
  <c r="I20" i="6"/>
  <c r="C26" i="6"/>
  <c r="D26" i="6" s="1"/>
  <c r="F20" i="6" l="1"/>
  <c r="H20" i="6"/>
  <c r="J20" i="6" s="1"/>
  <c r="G19" i="6"/>
  <c r="C27" i="6"/>
  <c r="D27" i="6" s="1"/>
  <c r="B26" i="6"/>
  <c r="B27" i="6" l="1"/>
  <c r="G20" i="6"/>
  <c r="E20" i="6"/>
  <c r="I21" i="6"/>
  <c r="C28" i="6"/>
  <c r="D28" i="6" s="1"/>
  <c r="B28" i="6" l="1"/>
  <c r="H21" i="6"/>
  <c r="F21" i="6"/>
  <c r="C29" i="6"/>
  <c r="D29" i="6" s="1"/>
  <c r="E21" i="6" l="1"/>
  <c r="J21" i="6"/>
  <c r="I22" i="6"/>
  <c r="C30" i="6"/>
  <c r="D30" i="6" s="1"/>
  <c r="B29" i="6"/>
  <c r="B30" i="6" l="1"/>
  <c r="F22" i="6"/>
  <c r="H22" i="6"/>
  <c r="J22" i="6" s="1"/>
  <c r="G22" i="6" s="1"/>
  <c r="G21" i="6"/>
  <c r="C31" i="6"/>
  <c r="D31" i="6" s="1"/>
  <c r="E22" i="6" l="1"/>
  <c r="I23" i="6"/>
  <c r="C32" i="6"/>
  <c r="D32" i="6" s="1"/>
  <c r="B31" i="6"/>
  <c r="F23" i="6" l="1"/>
  <c r="H23" i="6"/>
  <c r="B32" i="6"/>
  <c r="C33" i="6"/>
  <c r="D33" i="6" s="1"/>
  <c r="J23" i="6" l="1"/>
  <c r="E23" i="6"/>
  <c r="I24" i="6"/>
  <c r="C34" i="6"/>
  <c r="D34" i="6" s="1"/>
  <c r="B33" i="6"/>
  <c r="B34" i="6" l="1"/>
  <c r="F24" i="6"/>
  <c r="H24" i="6"/>
  <c r="J24" i="6" s="1"/>
  <c r="G23" i="6"/>
  <c r="C35" i="6"/>
  <c r="B35" i="6" l="1"/>
  <c r="D35" i="6"/>
  <c r="E24" i="6"/>
  <c r="I25" i="6"/>
  <c r="G24" i="6"/>
  <c r="C36" i="6"/>
  <c r="D36" i="6" s="1"/>
  <c r="H25" i="6" l="1"/>
  <c r="F25" i="6"/>
  <c r="B36" i="6"/>
  <c r="C37" i="6"/>
  <c r="D37" i="6" s="1"/>
  <c r="E25" i="6" l="1"/>
  <c r="I26" i="6"/>
  <c r="J25" i="6"/>
  <c r="B37" i="6"/>
  <c r="C38" i="6"/>
  <c r="D38" i="6" s="1"/>
  <c r="G25" i="6" l="1"/>
  <c r="F26" i="6"/>
  <c r="H26" i="6"/>
  <c r="B38" i="6"/>
  <c r="C39" i="6"/>
  <c r="D39" i="6" s="1"/>
  <c r="E26" i="6" l="1"/>
  <c r="I27" i="6"/>
  <c r="J26" i="6"/>
  <c r="B39" i="6"/>
  <c r="C40" i="6"/>
  <c r="D40" i="6" s="1"/>
  <c r="H27" i="6" l="1"/>
  <c r="J27" i="6" s="1"/>
  <c r="F27" i="6"/>
  <c r="G26" i="6"/>
  <c r="B40" i="6"/>
  <c r="C41" i="6"/>
  <c r="D41" i="6" s="1"/>
  <c r="G27" i="6" l="1"/>
  <c r="E27" i="6"/>
  <c r="I28" i="6"/>
  <c r="B41" i="6"/>
  <c r="C42" i="6"/>
  <c r="D42" i="6" s="1"/>
  <c r="H28" i="6" l="1"/>
  <c r="F28" i="6"/>
  <c r="B42" i="6"/>
  <c r="C43" i="6"/>
  <c r="D43" i="6" s="1"/>
  <c r="E28" i="6" l="1"/>
  <c r="J28" i="6"/>
  <c r="I29" i="6"/>
  <c r="B43" i="6"/>
  <c r="C44" i="6"/>
  <c r="D44" i="6" s="1"/>
  <c r="F29" i="6" l="1"/>
  <c r="H29" i="6"/>
  <c r="J29" i="6" s="1"/>
  <c r="G28" i="6"/>
  <c r="B44" i="6"/>
  <c r="C45" i="6"/>
  <c r="D45" i="6" s="1"/>
  <c r="G29" i="6" l="1"/>
  <c r="E29" i="6"/>
  <c r="I30" i="6"/>
  <c r="B45" i="6"/>
  <c r="C46" i="6"/>
  <c r="D46" i="6" l="1"/>
  <c r="F30" i="6"/>
  <c r="H30" i="6"/>
  <c r="B46" i="6"/>
  <c r="C47" i="6"/>
  <c r="E30" i="6" l="1"/>
  <c r="J30" i="6"/>
  <c r="I31" i="6"/>
  <c r="D47" i="6"/>
  <c r="B47" i="6"/>
  <c r="C48" i="6"/>
  <c r="F31" i="6" l="1"/>
  <c r="H31" i="6"/>
  <c r="G30" i="6"/>
  <c r="D48" i="6"/>
  <c r="B48" i="6"/>
  <c r="C49" i="6"/>
  <c r="J31" i="6" l="1"/>
  <c r="G31" i="6" s="1"/>
  <c r="E31" i="6"/>
  <c r="I32" i="6"/>
  <c r="D49" i="6"/>
  <c r="B49" i="6"/>
  <c r="C50" i="6"/>
  <c r="F32" i="6" l="1"/>
  <c r="H32" i="6"/>
  <c r="D50" i="6"/>
  <c r="B50" i="6"/>
  <c r="C51" i="6"/>
  <c r="D51" i="6" l="1"/>
  <c r="E32" i="6"/>
  <c r="J32" i="6"/>
  <c r="I33" i="6"/>
  <c r="B51" i="6"/>
  <c r="C52" i="6"/>
  <c r="D52" i="6" l="1"/>
  <c r="G32" i="6"/>
  <c r="F33" i="6"/>
  <c r="H33" i="6"/>
  <c r="B52" i="6"/>
  <c r="C53" i="6"/>
  <c r="J33" i="6" l="1"/>
  <c r="G33" i="6" s="1"/>
  <c r="D53" i="6"/>
  <c r="E33" i="6"/>
  <c r="I34" i="6"/>
  <c r="B53" i="6"/>
  <c r="C54" i="6"/>
  <c r="H34" i="6" l="1"/>
  <c r="F34" i="6"/>
  <c r="D54" i="6"/>
  <c r="B54" i="6"/>
  <c r="C55" i="6"/>
  <c r="D55" i="6" l="1"/>
  <c r="E34" i="6"/>
  <c r="J34" i="6"/>
  <c r="I35" i="6"/>
  <c r="B55" i="6"/>
  <c r="C56" i="6"/>
  <c r="F35" i="6" l="1"/>
  <c r="H35" i="6"/>
  <c r="G34" i="6"/>
  <c r="D56" i="6"/>
  <c r="B56" i="6"/>
  <c r="C57" i="6"/>
  <c r="J35" i="6" l="1"/>
  <c r="E35" i="6"/>
  <c r="G35" i="6"/>
  <c r="I36" i="6"/>
  <c r="D57" i="6"/>
  <c r="B57" i="6"/>
  <c r="C58" i="6"/>
  <c r="H36" i="6" l="1"/>
  <c r="F36" i="6"/>
  <c r="D58" i="6"/>
  <c r="B58" i="6"/>
  <c r="C59" i="6"/>
  <c r="D59" i="6" l="1"/>
  <c r="E36" i="6"/>
  <c r="I37" i="6"/>
  <c r="J36" i="6"/>
  <c r="B59" i="6"/>
  <c r="C60" i="6"/>
  <c r="D60" i="6" l="1"/>
  <c r="G36" i="6"/>
  <c r="H37" i="6"/>
  <c r="F37" i="6"/>
  <c r="B60" i="6"/>
  <c r="C61" i="6"/>
  <c r="J37" i="6" l="1"/>
  <c r="G37" i="6" s="1"/>
  <c r="D61" i="6"/>
  <c r="E37" i="6"/>
  <c r="I38" i="6"/>
  <c r="B61" i="6"/>
  <c r="C62" i="6"/>
  <c r="F38" i="6" l="1"/>
  <c r="H38" i="6"/>
  <c r="D62" i="6"/>
  <c r="B62" i="6"/>
  <c r="C63" i="6"/>
  <c r="D63" i="6" l="1"/>
  <c r="E38" i="6"/>
  <c r="I39" i="6"/>
  <c r="J38" i="6"/>
  <c r="B63" i="6"/>
  <c r="C64" i="6"/>
  <c r="D64" i="6" l="1"/>
  <c r="G38" i="6"/>
  <c r="H39" i="6"/>
  <c r="F39" i="6"/>
  <c r="B64" i="6"/>
  <c r="C65" i="6"/>
  <c r="J39" i="6" l="1"/>
  <c r="G39" i="6" s="1"/>
  <c r="D65" i="6"/>
  <c r="E39" i="6"/>
  <c r="I40" i="6"/>
  <c r="B65" i="6"/>
  <c r="C66" i="6"/>
  <c r="D66" i="6" l="1"/>
  <c r="H40" i="6"/>
  <c r="F40" i="6"/>
  <c r="B66" i="6"/>
  <c r="C67" i="6"/>
  <c r="D67" i="6" l="1"/>
  <c r="J40" i="6"/>
  <c r="E40" i="6"/>
  <c r="I41" i="6"/>
  <c r="B67" i="6"/>
  <c r="C68" i="6"/>
  <c r="F41" i="6" l="1"/>
  <c r="H41" i="6"/>
  <c r="G40" i="6"/>
  <c r="J41" i="6"/>
  <c r="D68" i="6"/>
  <c r="B68" i="6"/>
  <c r="C69" i="6"/>
  <c r="G41" i="6" l="1"/>
  <c r="E41" i="6"/>
  <c r="I42" i="6"/>
  <c r="D69" i="6"/>
  <c r="B69" i="6"/>
  <c r="C70" i="6"/>
  <c r="H42" i="6" l="1"/>
  <c r="F42" i="6"/>
  <c r="D70" i="6"/>
  <c r="B70" i="6"/>
  <c r="C71" i="6"/>
  <c r="D71" i="6" l="1"/>
  <c r="E42" i="6"/>
  <c r="I43" i="6"/>
  <c r="J42" i="6"/>
  <c r="G42" i="6" s="1"/>
  <c r="B71" i="6"/>
  <c r="C72" i="6"/>
  <c r="D72" i="6" l="1"/>
  <c r="F43" i="6"/>
  <c r="H43" i="6"/>
  <c r="B72" i="6"/>
  <c r="C73" i="6"/>
  <c r="J43" i="6" l="1"/>
  <c r="E43" i="6"/>
  <c r="I44" i="6"/>
  <c r="D73" i="6"/>
  <c r="B73" i="6"/>
  <c r="C74" i="6"/>
  <c r="H44" i="6" l="1"/>
  <c r="F44" i="6"/>
  <c r="D74" i="6"/>
  <c r="G43" i="6"/>
  <c r="B74" i="6"/>
  <c r="C75" i="6"/>
  <c r="J44" i="6" l="1"/>
  <c r="G44" i="6" s="1"/>
  <c r="D75" i="6"/>
  <c r="E44" i="6"/>
  <c r="I45" i="6"/>
  <c r="H45" i="6" s="1"/>
  <c r="B75" i="6"/>
  <c r="C76" i="6"/>
  <c r="C77" i="6" l="1"/>
  <c r="C78" i="6" s="1"/>
  <c r="J45" i="6"/>
  <c r="I46" i="6"/>
  <c r="D76" i="6"/>
  <c r="D12" i="6" s="1"/>
  <c r="B76" i="6"/>
  <c r="D77" i="6" l="1"/>
  <c r="B77" i="6"/>
  <c r="I78" i="6"/>
  <c r="H78" i="6" s="1"/>
  <c r="E78" i="6" s="1"/>
  <c r="J78" i="6"/>
  <c r="G78" i="6" s="1"/>
  <c r="I77" i="6"/>
  <c r="H77" i="6" s="1"/>
  <c r="J77" i="6"/>
  <c r="G77" i="6" s="1"/>
  <c r="E77" i="6"/>
  <c r="D78" i="6"/>
  <c r="B78" i="6"/>
  <c r="C79" i="6"/>
  <c r="F46" i="6"/>
  <c r="H46" i="6"/>
  <c r="F45" i="6"/>
  <c r="E45" i="6" s="1"/>
  <c r="G45" i="6"/>
  <c r="F78" i="6" l="1"/>
  <c r="F77" i="6"/>
  <c r="I79" i="6"/>
  <c r="H79" i="6" s="1"/>
  <c r="E79" i="6" s="1"/>
  <c r="J79" i="6"/>
  <c r="G79" i="6" s="1"/>
  <c r="B79" i="6"/>
  <c r="C80" i="6"/>
  <c r="D79" i="6"/>
  <c r="J46" i="6"/>
  <c r="G46" i="6" s="1"/>
  <c r="E46" i="6"/>
  <c r="I47" i="6"/>
  <c r="F79" i="6" l="1"/>
  <c r="J80" i="6"/>
  <c r="G80" i="6" s="1"/>
  <c r="I80" i="6"/>
  <c r="H80" i="6" s="1"/>
  <c r="E80" i="6" s="1"/>
  <c r="C81" i="6"/>
  <c r="D80" i="6"/>
  <c r="B80" i="6"/>
  <c r="F47" i="6"/>
  <c r="H47" i="6"/>
  <c r="F80" i="6" l="1"/>
  <c r="I81" i="6"/>
  <c r="H81" i="6" s="1"/>
  <c r="E81" i="6" s="1"/>
  <c r="J81" i="6"/>
  <c r="G81" i="6" s="1"/>
  <c r="B81" i="6"/>
  <c r="D81" i="6"/>
  <c r="F81" i="6"/>
  <c r="C82" i="6"/>
  <c r="I82" i="6" s="1"/>
  <c r="H82" i="6" s="1"/>
  <c r="E82" i="6" s="1"/>
  <c r="E47" i="6"/>
  <c r="I48" i="6"/>
  <c r="J47" i="6"/>
  <c r="J82" i="6" l="1"/>
  <c r="G82" i="6" s="1"/>
  <c r="C83" i="6"/>
  <c r="D82" i="6"/>
  <c r="B82" i="6"/>
  <c r="F82" i="6"/>
  <c r="G47" i="6"/>
  <c r="F48" i="6"/>
  <c r="H48" i="6"/>
  <c r="J48" i="6" s="1"/>
  <c r="I83" i="6" l="1"/>
  <c r="H83" i="6" s="1"/>
  <c r="E83" i="6" s="1"/>
  <c r="J83" i="6"/>
  <c r="G83" i="6" s="1"/>
  <c r="B83" i="6"/>
  <c r="D83" i="6"/>
  <c r="C84" i="6"/>
  <c r="G48" i="6"/>
  <c r="E48" i="6"/>
  <c r="I49" i="6"/>
  <c r="F83" i="6" l="1"/>
  <c r="I84" i="6"/>
  <c r="H84" i="6" s="1"/>
  <c r="E84" i="6" s="1"/>
  <c r="J84" i="6"/>
  <c r="G84" i="6" s="1"/>
  <c r="C85" i="6"/>
  <c r="D84" i="6"/>
  <c r="B84" i="6"/>
  <c r="F84" i="6"/>
  <c r="F49" i="6"/>
  <c r="H49" i="6"/>
  <c r="I85" i="6" l="1"/>
  <c r="H85" i="6" s="1"/>
  <c r="J85" i="6"/>
  <c r="G85" i="6" s="1"/>
  <c r="E85" i="6"/>
  <c r="B85" i="6"/>
  <c r="D85" i="6"/>
  <c r="C86" i="6"/>
  <c r="E49" i="6"/>
  <c r="I50" i="6"/>
  <c r="J49" i="6"/>
  <c r="F85" i="6" l="1"/>
  <c r="J86" i="6"/>
  <c r="G86" i="6" s="1"/>
  <c r="I86" i="6"/>
  <c r="H86" i="6" s="1"/>
  <c r="E86" i="6"/>
  <c r="C87" i="6"/>
  <c r="I87" i="6" s="1"/>
  <c r="H87" i="6" s="1"/>
  <c r="J87" i="6" s="1"/>
  <c r="D86" i="6"/>
  <c r="B86" i="6"/>
  <c r="F86" i="6"/>
  <c r="F50" i="6"/>
  <c r="H50" i="6"/>
  <c r="J50" i="6" s="1"/>
  <c r="G49" i="6"/>
  <c r="B87" i="6" l="1"/>
  <c r="G87" i="6"/>
  <c r="D87" i="6"/>
  <c r="F87" i="6"/>
  <c r="E50" i="6"/>
  <c r="I51" i="6"/>
  <c r="G50" i="6"/>
  <c r="E87" i="6" l="1"/>
  <c r="F51" i="6"/>
  <c r="H51" i="6"/>
  <c r="E51" i="6" l="1"/>
  <c r="I52" i="6"/>
  <c r="J51" i="6"/>
  <c r="F52" i="6" l="1"/>
  <c r="H52" i="6"/>
  <c r="J52" i="6" s="1"/>
  <c r="G51" i="6"/>
  <c r="G52" i="6" l="1"/>
  <c r="E52" i="6"/>
  <c r="I53" i="6"/>
  <c r="F53" i="6" l="1"/>
  <c r="H53" i="6"/>
  <c r="E53" i="6" l="1"/>
  <c r="I54" i="6"/>
  <c r="J53" i="6"/>
  <c r="F54" i="6" l="1"/>
  <c r="H54" i="6"/>
  <c r="J54" i="6" s="1"/>
  <c r="G53" i="6"/>
  <c r="G54" i="6" l="1"/>
  <c r="E54" i="6"/>
  <c r="I55" i="6"/>
  <c r="F55" i="6" l="1"/>
  <c r="H55" i="6"/>
  <c r="E55" i="6" l="1"/>
  <c r="I56" i="6"/>
  <c r="J55" i="6"/>
  <c r="H56" i="6" l="1"/>
  <c r="J56" i="6" s="1"/>
  <c r="F56" i="6"/>
  <c r="G55" i="6"/>
  <c r="G56" i="6" l="1"/>
  <c r="E56" i="6"/>
  <c r="I57" i="6"/>
  <c r="F57" i="6" l="1"/>
  <c r="H57" i="6"/>
  <c r="E57" i="6" l="1"/>
  <c r="I58" i="6"/>
  <c r="J57" i="6"/>
  <c r="F58" i="6" l="1"/>
  <c r="H58" i="6"/>
  <c r="J58" i="6" s="1"/>
  <c r="G57" i="6"/>
  <c r="G58" i="6" l="1"/>
  <c r="E58" i="6"/>
  <c r="I59" i="6"/>
  <c r="F59" i="6" l="1"/>
  <c r="H59" i="6"/>
  <c r="E59" i="6" l="1"/>
  <c r="I60" i="6"/>
  <c r="J59" i="6"/>
  <c r="F60" i="6" l="1"/>
  <c r="H60" i="6"/>
  <c r="J60" i="6" s="1"/>
  <c r="G59" i="6"/>
  <c r="E60" i="6" l="1"/>
  <c r="I61" i="6"/>
  <c r="G60" i="6"/>
  <c r="F61" i="6" l="1"/>
  <c r="H61" i="6"/>
  <c r="E61" i="6" l="1"/>
  <c r="I62" i="6"/>
  <c r="J61" i="6"/>
  <c r="F62" i="6" l="1"/>
  <c r="H62" i="6"/>
  <c r="J62" i="6" s="1"/>
  <c r="G61" i="6"/>
  <c r="E62" i="6" l="1"/>
  <c r="I63" i="6"/>
  <c r="G62" i="6"/>
  <c r="F63" i="6" l="1"/>
  <c r="H63" i="6"/>
  <c r="E63" i="6" l="1"/>
  <c r="I64" i="6"/>
  <c r="J63" i="6"/>
  <c r="F64" i="6" l="1"/>
  <c r="H64" i="6"/>
  <c r="J64" i="6" s="1"/>
  <c r="G63" i="6"/>
  <c r="G64" i="6" l="1"/>
  <c r="E64" i="6"/>
  <c r="I65" i="6"/>
  <c r="F65" i="6" l="1"/>
  <c r="H65" i="6"/>
  <c r="E65" i="6" l="1"/>
  <c r="I66" i="6"/>
  <c r="J65" i="6"/>
  <c r="F66" i="6" l="1"/>
  <c r="H66" i="6"/>
  <c r="J66" i="6" s="1"/>
  <c r="G65" i="6"/>
  <c r="E66" i="6" l="1"/>
  <c r="I67" i="6"/>
  <c r="G66" i="6"/>
  <c r="F67" i="6" l="1"/>
  <c r="H67" i="6"/>
  <c r="E67" i="6" l="1"/>
  <c r="I68" i="6"/>
  <c r="J67" i="6"/>
  <c r="H68" i="6" l="1"/>
  <c r="J68" i="6" s="1"/>
  <c r="F68" i="6"/>
  <c r="G67" i="6"/>
  <c r="G68" i="6" l="1"/>
  <c r="E68" i="6"/>
  <c r="I69" i="6"/>
  <c r="F69" i="6" l="1"/>
  <c r="H69" i="6"/>
  <c r="E69" i="6" l="1"/>
  <c r="I70" i="6"/>
  <c r="J69" i="6"/>
  <c r="F70" i="6" l="1"/>
  <c r="H70" i="6"/>
  <c r="J70" i="6" s="1"/>
  <c r="G69" i="6"/>
  <c r="G70" i="6" l="1"/>
  <c r="E70" i="6"/>
  <c r="I71" i="6"/>
  <c r="F71" i="6" l="1"/>
  <c r="H71" i="6"/>
  <c r="E71" i="6" l="1"/>
  <c r="I72" i="6"/>
  <c r="J71" i="6"/>
  <c r="F72" i="6" l="1"/>
  <c r="H72" i="6"/>
  <c r="J72" i="6" s="1"/>
  <c r="G71" i="6"/>
  <c r="G72" i="6" l="1"/>
  <c r="E72" i="6"/>
  <c r="I73" i="6"/>
  <c r="F73" i="6" l="1"/>
  <c r="H73" i="6"/>
  <c r="E73" i="6" l="1"/>
  <c r="I74" i="6"/>
  <c r="J73" i="6"/>
  <c r="F74" i="6" l="1"/>
  <c r="H74" i="6"/>
  <c r="J74" i="6" s="1"/>
  <c r="G73" i="6"/>
  <c r="G74" i="6" l="1"/>
  <c r="E74" i="6"/>
  <c r="I75" i="6"/>
  <c r="H75" i="6" l="1"/>
  <c r="I76" i="6" s="1"/>
  <c r="I12" i="6" s="1"/>
  <c r="F76" i="6" l="1"/>
  <c r="H76" i="6"/>
  <c r="E76" i="6" s="1"/>
  <c r="J75" i="6"/>
  <c r="J76" i="6" s="1"/>
  <c r="G76" i="6" s="1"/>
  <c r="H12" i="6" l="1"/>
  <c r="J12" i="6" s="1"/>
  <c r="G75" i="6"/>
  <c r="F75" i="6"/>
  <c r="F12" i="6" l="1"/>
  <c r="E75" i="6"/>
  <c r="E12" i="6" s="1"/>
  <c r="G12" i="6" s="1"/>
</calcChain>
</file>

<file path=xl/comments1.xml><?xml version="1.0" encoding="utf-8"?>
<comments xmlns="http://schemas.openxmlformats.org/spreadsheetml/2006/main">
  <authors>
    <author>作者</author>
  </authors>
  <commentList>
    <comment ref="C6" authorId="0" shape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当利率为固定利率时 此处为空</t>
        </r>
      </text>
    </comment>
    <comment ref="C7" authorId="0" shape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（宽限期是指只还息不还本金的期间）</t>
        </r>
      </text>
    </comment>
    <comment ref="F8" authorId="0" shape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0表示期末支付
1表示期初支付</t>
        </r>
      </text>
    </comment>
  </commentList>
</comments>
</file>

<file path=xl/sharedStrings.xml><?xml version="1.0" encoding="utf-8"?>
<sst xmlns="http://schemas.openxmlformats.org/spreadsheetml/2006/main" count="114" uniqueCount="97">
  <si>
    <t>融资金额</t>
  </si>
  <si>
    <t>起租时间（年月日）</t>
  </si>
  <si>
    <t>调整日期</t>
  </si>
  <si>
    <t>存款基准利率</t>
  </si>
  <si>
    <t>贷款基准利率</t>
  </si>
  <si>
    <t>调整前</t>
  </si>
  <si>
    <t>调整后</t>
  </si>
  <si>
    <t>幅度</t>
  </si>
  <si>
    <t>中国人民银行人民币存贷款基准利率历次调整一览表（1年期）</t>
    <phoneticPr fontId="3" type="noConversion"/>
  </si>
  <si>
    <t>融资期限（月）</t>
    <phoneticPr fontId="3" type="noConversion"/>
  </si>
  <si>
    <t>利率浮动方式</t>
  </si>
  <si>
    <t>固定利率</t>
    <phoneticPr fontId="3" type="noConversion"/>
  </si>
  <si>
    <t>按年浮动</t>
    <phoneticPr fontId="3" type="noConversion"/>
  </si>
  <si>
    <t>按季浮动</t>
    <phoneticPr fontId="3" type="noConversion"/>
  </si>
  <si>
    <t>手续费支付方式</t>
    <phoneticPr fontId="3" type="noConversion"/>
  </si>
  <si>
    <t>每年初支付</t>
    <phoneticPr fontId="3" type="noConversion"/>
  </si>
  <si>
    <t>租金支付周期</t>
    <phoneticPr fontId="3" type="noConversion"/>
  </si>
  <si>
    <t>月</t>
    <phoneticPr fontId="3" type="noConversion"/>
  </si>
  <si>
    <t>双月</t>
    <phoneticPr fontId="3" type="noConversion"/>
  </si>
  <si>
    <t>季度</t>
    <phoneticPr fontId="3" type="noConversion"/>
  </si>
  <si>
    <t>半年</t>
    <phoneticPr fontId="3" type="noConversion"/>
  </si>
  <si>
    <t>一年</t>
    <phoneticPr fontId="3" type="noConversion"/>
  </si>
  <si>
    <t>租金支付方式</t>
    <phoneticPr fontId="3" type="noConversion"/>
  </si>
  <si>
    <t>租金支付方式（1表示前付，0表示后付）</t>
    <phoneticPr fontId="3" type="noConversion"/>
  </si>
  <si>
    <t>融资期限（月）</t>
    <phoneticPr fontId="3" type="noConversion"/>
  </si>
  <si>
    <t>利率浮动方式</t>
    <phoneticPr fontId="3" type="noConversion"/>
  </si>
  <si>
    <t>浮动比例</t>
    <phoneticPr fontId="3" type="noConversion"/>
  </si>
  <si>
    <t>PBOC贷款基准利率</t>
  </si>
  <si>
    <t>固定利率</t>
    <phoneticPr fontId="3" type="noConversion"/>
  </si>
  <si>
    <t>利率</t>
    <phoneticPr fontId="3" type="noConversion"/>
  </si>
  <si>
    <t>每期租金额PMT(rate,nper,pv,fv,type)</t>
    <phoneticPr fontId="3" type="noConversion"/>
  </si>
  <si>
    <t>年期数</t>
    <phoneticPr fontId="3" type="noConversion"/>
  </si>
  <si>
    <t>IRR</t>
    <phoneticPr fontId="3" type="noConversion"/>
  </si>
  <si>
    <t>月份数</t>
    <phoneticPr fontId="3" type="noConversion"/>
  </si>
  <si>
    <t>天数</t>
    <phoneticPr fontId="3" type="noConversion"/>
  </si>
  <si>
    <t>租金期数</t>
    <phoneticPr fontId="3" type="noConversion"/>
  </si>
  <si>
    <t>租赁余值</t>
    <phoneticPr fontId="3" type="noConversion"/>
  </si>
  <si>
    <t>贷款净额</t>
    <phoneticPr fontId="3" type="noConversion"/>
  </si>
  <si>
    <t>手续费及租金现值</t>
    <phoneticPr fontId="3" type="noConversion"/>
  </si>
  <si>
    <t>利率项目</t>
  </si>
  <si>
    <t>年利率(%)</t>
  </si>
  <si>
    <r>
      <t>六个月以内（含6个月）</t>
    </r>
    <r>
      <rPr>
        <sz val="9"/>
        <color rgb="FFCC0000"/>
        <rFont val="Arial"/>
        <family val="2"/>
      </rPr>
      <t>贷款</t>
    </r>
  </si>
  <si>
    <r>
      <t>六个月至一年（含1年）</t>
    </r>
    <r>
      <rPr>
        <sz val="9"/>
        <color rgb="FFCC0000"/>
        <rFont val="Arial"/>
        <family val="2"/>
      </rPr>
      <t>贷款</t>
    </r>
  </si>
  <si>
    <r>
      <t>一至三年（含3年）</t>
    </r>
    <r>
      <rPr>
        <sz val="9"/>
        <color rgb="FFCC0000"/>
        <rFont val="Arial"/>
        <family val="2"/>
      </rPr>
      <t>贷款</t>
    </r>
  </si>
  <si>
    <r>
      <t>三至五年（含5年）</t>
    </r>
    <r>
      <rPr>
        <sz val="9"/>
        <color rgb="FFCC0000"/>
        <rFont val="Arial"/>
        <family val="2"/>
      </rPr>
      <t>贷款</t>
    </r>
  </si>
  <si>
    <r>
      <t>五年以上</t>
    </r>
    <r>
      <rPr>
        <sz val="9"/>
        <color rgb="FFCC0000"/>
        <rFont val="Arial"/>
        <family val="2"/>
      </rPr>
      <t>贷款</t>
    </r>
  </si>
  <si>
    <t>6至12个月</t>
    <phoneticPr fontId="3" type="noConversion"/>
  </si>
  <si>
    <r>
      <t>6</t>
    </r>
    <r>
      <rPr>
        <sz val="9"/>
        <color theme="1"/>
        <rFont val="宋体"/>
        <family val="3"/>
        <charset val="134"/>
      </rPr>
      <t>个月以内</t>
    </r>
    <phoneticPr fontId="3" type="noConversion"/>
  </si>
  <si>
    <t>12个月-36个月</t>
    <phoneticPr fontId="3" type="noConversion"/>
  </si>
  <si>
    <t>36个月-60个月</t>
    <phoneticPr fontId="3" type="noConversion"/>
  </si>
  <si>
    <t>60个月以上</t>
  </si>
  <si>
    <t>60个月以上</t>
    <phoneticPr fontId="3" type="noConversion"/>
  </si>
  <si>
    <t>6至12个月（含12个月）</t>
    <phoneticPr fontId="3" type="noConversion"/>
  </si>
  <si>
    <t>6个月以内（含6个月）</t>
    <phoneticPr fontId="3" type="noConversion"/>
  </si>
  <si>
    <t>12个月-36个月（含36个月）</t>
    <phoneticPr fontId="3" type="noConversion"/>
  </si>
  <si>
    <t>36个月-60个月（含60个月）</t>
    <phoneticPr fontId="3" type="noConversion"/>
  </si>
  <si>
    <t>36个月-60个月（含60个月）</t>
  </si>
  <si>
    <t>设备总价</t>
    <phoneticPr fontId="19" type="noConversion"/>
  </si>
  <si>
    <t>起租日</t>
    <phoneticPr fontId="19" type="noConversion"/>
  </si>
  <si>
    <t>首付款比例</t>
  </si>
  <si>
    <t>首付款</t>
  </si>
  <si>
    <t>融资本金</t>
  </si>
  <si>
    <t>年利率</t>
  </si>
  <si>
    <t>融资期数</t>
    <phoneticPr fontId="19" type="noConversion"/>
  </si>
  <si>
    <t>金额：元</t>
    <phoneticPr fontId="19" type="noConversion"/>
  </si>
  <si>
    <t>总计还款金额</t>
    <phoneticPr fontId="19" type="noConversion"/>
  </si>
  <si>
    <t>总计还款本金</t>
    <phoneticPr fontId="19" type="noConversion"/>
  </si>
  <si>
    <t>总计还款利息</t>
    <phoneticPr fontId="19" type="noConversion"/>
  </si>
  <si>
    <t>最终本金余额</t>
    <phoneticPr fontId="19" type="noConversion"/>
  </si>
  <si>
    <t>合计</t>
    <phoneticPr fontId="19" type="noConversion"/>
  </si>
  <si>
    <t>还款日期</t>
  </si>
  <si>
    <t>期数</t>
  </si>
  <si>
    <t>还款金额</t>
    <phoneticPr fontId="19" type="noConversion"/>
  </si>
  <si>
    <t>本金余额</t>
    <phoneticPr fontId="19" type="noConversion"/>
  </si>
  <si>
    <t>还款本息</t>
    <phoneticPr fontId="19" type="noConversion"/>
  </si>
  <si>
    <t>本金部分</t>
  </si>
  <si>
    <t>利息部分</t>
  </si>
  <si>
    <t>设备总价</t>
    <phoneticPr fontId="3" type="noConversion"/>
  </si>
  <si>
    <t>首付款比例</t>
    <phoneticPr fontId="3" type="noConversion"/>
  </si>
  <si>
    <t>首付款</t>
    <phoneticPr fontId="3" type="noConversion"/>
  </si>
  <si>
    <t>租金支付周期</t>
  </si>
  <si>
    <t>每期租金</t>
    <phoneticPr fontId="3" type="noConversion"/>
  </si>
  <si>
    <t>月</t>
  </si>
  <si>
    <t>手续费</t>
    <phoneticPr fontId="3" type="noConversion"/>
  </si>
  <si>
    <t>保证金（按融资金额比例）</t>
    <phoneticPr fontId="3" type="noConversion"/>
  </si>
  <si>
    <t>保证金</t>
  </si>
  <si>
    <t>随租金支付</t>
  </si>
  <si>
    <t>随租金支付</t>
    <phoneticPr fontId="3" type="noConversion"/>
  </si>
  <si>
    <t>起租时一次性支付</t>
    <phoneticPr fontId="3" type="noConversion"/>
  </si>
  <si>
    <t>使用说明：</t>
    <phoneticPr fontId="19" type="noConversion"/>
  </si>
  <si>
    <t>1.请输入黄色阴影部分的数值，灰色部分为公式自动生成，请不要改变。</t>
    <phoneticPr fontId="19" type="noConversion"/>
  </si>
  <si>
    <t>手续费（按设备总价比例）</t>
    <phoneticPr fontId="3" type="noConversion"/>
  </si>
  <si>
    <t>3.手续费为设备售价乘以手续费比率，保证金为融资额乘以保证金比率。</t>
    <phoneticPr fontId="19" type="noConversion"/>
  </si>
  <si>
    <t>2.蓝色部分，请根据下拉菜单选择选项。</t>
    <phoneticPr fontId="3" type="noConversion"/>
  </si>
  <si>
    <t>宽限期（月数，录入0则为无宽限期）</t>
    <phoneticPr fontId="3" type="noConversion"/>
  </si>
  <si>
    <t>融资租赁还款计划表</t>
    <phoneticPr fontId="19" type="noConversion"/>
  </si>
  <si>
    <t>融资租赁报价计算表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</si>
</sst>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&quot;¥&quot;#,##0.00;[Red]&quot;¥&quot;\-#,##0.00"/>
    <numFmt numFmtId="43" formatCode="_ * #,##0.00_ ;_ * \-#,##0.00_ ;_ * &quot;-&quot;??_ ;_ @_ "/>
    <numFmt numFmtId="176" formatCode="0.000%"/>
    <numFmt numFmtId="177" formatCode="_(* #,##0.00_);_(* \(#,##0.00\);_(* &quot;-&quot;??_);_(@_)"/>
    <numFmt numFmtId="178" formatCode="yyyy/mm/dd"/>
    <numFmt numFmtId="179" formatCode="#,##0.00_ "/>
    <numFmt numFmtId="180" formatCode="#,##0.00_);[Red]\(#,##0.00\)"/>
    <numFmt numFmtId="181" formatCode="0.0000%"/>
  </numFmts>
  <fonts count="4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0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color theme="1"/>
      <name val="微软雅黑"/>
      <family val="2"/>
      <charset val="134"/>
    </font>
    <font>
      <sz val="9"/>
      <color rgb="FF000099"/>
      <name val="微软雅黑"/>
      <family val="2"/>
      <charset val="134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theme="0"/>
      <name val="微软雅黑"/>
      <family val="2"/>
      <charset val="134"/>
    </font>
    <font>
      <sz val="11"/>
      <name val="Arial"/>
      <family val="2"/>
    </font>
    <font>
      <b/>
      <sz val="9"/>
      <color theme="1"/>
      <name val="微软雅黑"/>
      <family val="2"/>
      <charset val="134"/>
    </font>
    <font>
      <sz val="20"/>
      <color theme="1"/>
      <name val="微软雅黑"/>
      <family val="2"/>
      <charset val="134"/>
    </font>
    <font>
      <sz val="9"/>
      <name val="微软雅黑"/>
      <family val="2"/>
      <charset val="134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9"/>
      <color rgb="FFCC0000"/>
      <name val="Arial"/>
      <family val="2"/>
    </font>
    <font>
      <sz val="9"/>
      <color theme="1"/>
      <name val="宋体"/>
      <family val="3"/>
      <charset val="134"/>
    </font>
    <font>
      <sz val="10"/>
      <name val="Arial"/>
      <family val="2"/>
    </font>
    <font>
      <sz val="9"/>
      <name val="宋体"/>
      <family val="3"/>
      <charset val="134"/>
    </font>
    <font>
      <b/>
      <u val="double"/>
      <sz val="16"/>
      <name val="Times New Roman"/>
      <family val="1"/>
    </font>
    <font>
      <b/>
      <sz val="10"/>
      <name val="Times New Roman"/>
      <family val="1"/>
    </font>
    <font>
      <b/>
      <u/>
      <sz val="10"/>
      <name val="宋体"/>
      <family val="3"/>
      <charset val="134"/>
    </font>
    <font>
      <b/>
      <sz val="11"/>
      <name val="宋体"/>
      <family val="3"/>
      <charset val="134"/>
    </font>
    <font>
      <b/>
      <u/>
      <sz val="11"/>
      <name val="宋体"/>
      <family val="3"/>
      <charset val="134"/>
    </font>
    <font>
      <b/>
      <sz val="10"/>
      <name val="宋体"/>
      <family val="3"/>
      <charset val="134"/>
    </font>
    <font>
      <sz val="12"/>
      <name val="宋体"/>
      <family val="3"/>
      <charset val="134"/>
    </font>
    <font>
      <b/>
      <sz val="10"/>
      <color indexed="10"/>
      <name val="宋体"/>
      <family val="3"/>
      <charset val="134"/>
    </font>
    <font>
      <b/>
      <sz val="12"/>
      <name val="宋体"/>
      <family val="3"/>
      <charset val="134"/>
    </font>
    <font>
      <b/>
      <sz val="12"/>
      <name val="Times New Roman"/>
      <family val="1"/>
    </font>
    <font>
      <b/>
      <sz val="10"/>
      <color indexed="10"/>
      <name val="Times New Roman"/>
      <family val="1"/>
    </font>
    <font>
      <b/>
      <sz val="9"/>
      <name val="微软雅黑"/>
      <family val="2"/>
      <charset val="134"/>
    </font>
    <font>
      <b/>
      <sz val="10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9"/>
      <color indexed="10"/>
      <name val="微软雅黑"/>
      <family val="2"/>
      <charset val="134"/>
    </font>
    <font>
      <b/>
      <u/>
      <sz val="9"/>
      <name val="微软雅黑"/>
      <family val="2"/>
      <charset val="134"/>
    </font>
    <font>
      <b/>
      <u val="double"/>
      <sz val="16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14"/>
      <color indexed="8"/>
      <name val="宋体"/>
      <family val="3"/>
      <charset val="134"/>
    </font>
    <font>
      <sz val="10"/>
      <name val="微软雅黑"/>
      <family val="2"/>
      <charset val="134"/>
    </font>
    <font>
      <sz val="14"/>
      <name val="宋体"/>
      <family val="3"/>
      <charset val="134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gray06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65"/>
        <bgColor indexed="22"/>
      </patternFill>
    </fill>
  </fills>
  <borders count="31">
    <border>
      <left/>
      <right/>
      <top/>
      <bottom/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/>
    <xf numFmtId="0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</cellStyleXfs>
  <cellXfs count="154">
    <xf numFmtId="0" fontId="0" fillId="0" borderId="0" xfId="0"/>
    <xf numFmtId="0" fontId="5" fillId="0" borderId="0" xfId="0" applyFont="1"/>
    <xf numFmtId="31" fontId="5" fillId="0" borderId="0" xfId="0" applyNumberFormat="1" applyFont="1"/>
    <xf numFmtId="10" fontId="5" fillId="0" borderId="0" xfId="0" applyNumberFormat="1" applyFont="1"/>
    <xf numFmtId="0" fontId="6" fillId="0" borderId="0" xfId="0" applyFont="1"/>
    <xf numFmtId="10" fontId="6" fillId="0" borderId="0" xfId="0" applyNumberFormat="1" applyFont="1"/>
    <xf numFmtId="0" fontId="4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10" fontId="4" fillId="0" borderId="0" xfId="2" applyNumberFormat="1" applyFont="1" applyAlignment="1"/>
    <xf numFmtId="10" fontId="4" fillId="0" borderId="5" xfId="2" applyNumberFormat="1" applyFont="1" applyBorder="1" applyAlignment="1">
      <alignment horizontal="center" vertical="center"/>
    </xf>
    <xf numFmtId="10" fontId="4" fillId="0" borderId="8" xfId="2" applyNumberFormat="1" applyFont="1" applyBorder="1" applyAlignment="1">
      <alignment horizontal="center" vertical="center"/>
    </xf>
    <xf numFmtId="10" fontId="4" fillId="2" borderId="5" xfId="2" applyNumberFormat="1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8" fontId="5" fillId="0" borderId="0" xfId="0" applyNumberFormat="1" applyFont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11" fillId="0" borderId="19" xfId="0" applyFont="1" applyFill="1" applyBorder="1" applyAlignment="1">
      <alignment vertical="center" wrapText="1"/>
    </xf>
    <xf numFmtId="43" fontId="5" fillId="4" borderId="20" xfId="1" applyFont="1" applyFill="1" applyBorder="1" applyAlignment="1">
      <alignment vertical="center"/>
    </xf>
    <xf numFmtId="8" fontId="13" fillId="0" borderId="20" xfId="1" applyNumberFormat="1" applyFont="1" applyFill="1" applyBorder="1" applyAlignment="1">
      <alignment vertical="center"/>
    </xf>
    <xf numFmtId="43" fontId="0" fillId="0" borderId="0" xfId="0" applyNumberFormat="1"/>
    <xf numFmtId="176" fontId="5" fillId="0" borderId="15" xfId="2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4" fillId="0" borderId="5" xfId="0" applyFont="1" applyBorder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20" fillId="5" borderId="0" xfId="3" applyFont="1" applyFill="1" applyAlignment="1" applyProtection="1">
      <alignment horizontal="centerContinuous"/>
      <protection hidden="1"/>
    </xf>
    <xf numFmtId="0" fontId="20" fillId="5" borderId="0" xfId="3" applyFont="1" applyFill="1" applyAlignment="1" applyProtection="1">
      <protection hidden="1"/>
    </xf>
    <xf numFmtId="0" fontId="0" fillId="6" borderId="0" xfId="0" applyFill="1" applyProtection="1">
      <protection locked="0"/>
    </xf>
    <xf numFmtId="0" fontId="21" fillId="5" borderId="0" xfId="3" applyFont="1" applyFill="1" applyAlignment="1" applyProtection="1">
      <alignment horizontal="center"/>
      <protection hidden="1"/>
    </xf>
    <xf numFmtId="0" fontId="22" fillId="5" borderId="0" xfId="3" applyFont="1" applyFill="1" applyAlignment="1" applyProtection="1">
      <protection hidden="1"/>
    </xf>
    <xf numFmtId="0" fontId="22" fillId="5" borderId="0" xfId="3" applyFont="1" applyFill="1" applyAlignment="1" applyProtection="1">
      <alignment horizontal="center"/>
      <protection hidden="1"/>
    </xf>
    <xf numFmtId="0" fontId="23" fillId="5" borderId="22" xfId="3" applyFont="1" applyFill="1" applyBorder="1" applyAlignment="1" applyProtection="1">
      <alignment horizontal="center" vertical="center"/>
      <protection hidden="1"/>
    </xf>
    <xf numFmtId="0" fontId="25" fillId="5" borderId="0" xfId="3" applyFont="1" applyFill="1" applyAlignment="1" applyProtection="1">
      <alignment horizontal="left"/>
      <protection hidden="1"/>
    </xf>
    <xf numFmtId="0" fontId="25" fillId="5" borderId="23" xfId="3" applyFont="1" applyFill="1" applyBorder="1" applyAlignment="1" applyProtection="1">
      <alignment horizontal="center"/>
      <protection hidden="1"/>
    </xf>
    <xf numFmtId="0" fontId="27" fillId="8" borderId="23" xfId="3" applyFont="1" applyFill="1" applyBorder="1" applyAlignment="1" applyProtection="1">
      <alignment horizontal="center"/>
      <protection hidden="1"/>
    </xf>
    <xf numFmtId="0" fontId="21" fillId="8" borderId="23" xfId="3" applyFont="1" applyFill="1" applyBorder="1" applyAlignment="1" applyProtection="1">
      <alignment horizontal="center"/>
      <protection hidden="1"/>
    </xf>
    <xf numFmtId="0" fontId="25" fillId="8" borderId="23" xfId="3" applyFont="1" applyFill="1" applyBorder="1" applyAlignment="1" applyProtection="1">
      <alignment horizontal="center"/>
      <protection hidden="1"/>
    </xf>
    <xf numFmtId="0" fontId="25" fillId="0" borderId="0" xfId="3" applyFont="1" applyFill="1" applyBorder="1" applyAlignment="1" applyProtection="1">
      <alignment horizontal="center"/>
      <protection hidden="1"/>
    </xf>
    <xf numFmtId="40" fontId="29" fillId="5" borderId="23" xfId="3" applyNumberFormat="1" applyFont="1" applyFill="1" applyBorder="1" applyAlignment="1" applyProtection="1">
      <alignment horizontal="right"/>
      <protection hidden="1"/>
    </xf>
    <xf numFmtId="40" fontId="21" fillId="0" borderId="0" xfId="3" applyNumberFormat="1" applyFont="1" applyFill="1" applyBorder="1" applyAlignment="1" applyProtection="1">
      <alignment horizontal="right"/>
      <protection hidden="1"/>
    </xf>
    <xf numFmtId="180" fontId="26" fillId="5" borderId="23" xfId="3" applyNumberFormat="1" applyFont="1" applyFill="1" applyBorder="1" applyAlignment="1" applyProtection="1">
      <alignment horizontal="center"/>
      <protection hidden="1"/>
    </xf>
    <xf numFmtId="40" fontId="29" fillId="5" borderId="23" xfId="3" applyNumberFormat="1" applyFont="1" applyFill="1" applyBorder="1" applyAlignment="1" applyProtection="1">
      <alignment horizontal="center"/>
      <protection hidden="1"/>
    </xf>
    <xf numFmtId="40" fontId="21" fillId="5" borderId="23" xfId="3" applyNumberFormat="1" applyFont="1" applyFill="1" applyBorder="1" applyAlignment="1" applyProtection="1">
      <alignment horizontal="right"/>
      <protection hidden="1"/>
    </xf>
    <xf numFmtId="181" fontId="25" fillId="0" borderId="0" xfId="5" applyNumberFormat="1" applyFont="1" applyFill="1" applyBorder="1" applyAlignment="1" applyProtection="1">
      <alignment horizontal="center" vertical="center"/>
      <protection hidden="1"/>
    </xf>
    <xf numFmtId="0" fontId="25" fillId="0" borderId="0" xfId="3" applyFont="1" applyFill="1" applyBorder="1" applyAlignment="1" applyProtection="1">
      <alignment horizontal="right"/>
      <protection hidden="1"/>
    </xf>
    <xf numFmtId="177" fontId="30" fillId="7" borderId="27" xfId="4" applyNumberFormat="1" applyFont="1" applyFill="1" applyBorder="1" applyAlignment="1" applyProtection="1">
      <alignment horizontal="center" vertical="center"/>
      <protection hidden="1"/>
    </xf>
    <xf numFmtId="177" fontId="21" fillId="0" borderId="0" xfId="4" applyNumberFormat="1" applyFont="1" applyFill="1" applyBorder="1" applyAlignment="1" applyProtection="1">
      <alignment horizontal="right" vertical="center"/>
      <protection hidden="1"/>
    </xf>
    <xf numFmtId="0" fontId="0" fillId="5" borderId="0" xfId="0" applyFill="1" applyProtection="1">
      <protection locked="0"/>
    </xf>
    <xf numFmtId="0" fontId="26" fillId="5" borderId="0" xfId="0" applyFont="1" applyFill="1" applyProtection="1">
      <protection locked="0"/>
    </xf>
    <xf numFmtId="0" fontId="26" fillId="6" borderId="0" xfId="0" applyFont="1" applyFill="1" applyProtection="1">
      <protection locked="0"/>
    </xf>
    <xf numFmtId="43" fontId="6" fillId="2" borderId="13" xfId="1" applyFont="1" applyFill="1" applyBorder="1" applyAlignment="1">
      <alignment horizontal="center" vertical="center"/>
    </xf>
    <xf numFmtId="9" fontId="6" fillId="2" borderId="14" xfId="0" applyNumberFormat="1" applyFont="1" applyFill="1" applyBorder="1" applyAlignment="1">
      <alignment horizontal="center" vertical="center"/>
    </xf>
    <xf numFmtId="43" fontId="6" fillId="9" borderId="14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10" fontId="5" fillId="9" borderId="14" xfId="2" applyNumberFormat="1" applyFont="1" applyFill="1" applyBorder="1" applyAlignment="1">
      <alignment horizontal="center" vertical="center"/>
    </xf>
    <xf numFmtId="0" fontId="31" fillId="5" borderId="23" xfId="3" applyFont="1" applyFill="1" applyBorder="1" applyAlignment="1" applyProtection="1">
      <alignment horizontal="center"/>
      <protection hidden="1"/>
    </xf>
    <xf numFmtId="0" fontId="31" fillId="5" borderId="24" xfId="3" applyFont="1" applyFill="1" applyBorder="1" applyAlignment="1" applyProtection="1">
      <protection hidden="1"/>
    </xf>
    <xf numFmtId="0" fontId="31" fillId="5" borderId="25" xfId="3" applyFont="1" applyFill="1" applyBorder="1" applyAlignment="1" applyProtection="1">
      <protection hidden="1"/>
    </xf>
    <xf numFmtId="0" fontId="31" fillId="2" borderId="26" xfId="3" applyNumberFormat="1" applyFont="1" applyFill="1" applyBorder="1" applyAlignment="1" applyProtection="1">
      <alignment horizontal="right"/>
      <protection hidden="1"/>
    </xf>
    <xf numFmtId="0" fontId="31" fillId="5" borderId="26" xfId="3" applyFont="1" applyFill="1" applyBorder="1" applyAlignment="1" applyProtection="1">
      <alignment horizontal="right"/>
      <protection hidden="1"/>
    </xf>
    <xf numFmtId="0" fontId="31" fillId="5" borderId="23" xfId="3" applyFont="1" applyFill="1" applyBorder="1" applyAlignment="1" applyProtection="1">
      <alignment horizontal="right"/>
      <protection hidden="1"/>
    </xf>
    <xf numFmtId="181" fontId="31" fillId="5" borderId="23" xfId="5" applyNumberFormat="1" applyFont="1" applyFill="1" applyBorder="1" applyAlignment="1" applyProtection="1">
      <alignment horizontal="center" vertical="center"/>
      <protection hidden="1"/>
    </xf>
    <xf numFmtId="178" fontId="13" fillId="7" borderId="23" xfId="4" applyNumberFormat="1" applyFont="1" applyFill="1" applyBorder="1" applyAlignment="1" applyProtection="1">
      <alignment horizontal="right" vertical="center"/>
      <protection hidden="1"/>
    </xf>
    <xf numFmtId="0" fontId="31" fillId="7" borderId="23" xfId="3" applyFont="1" applyFill="1" applyBorder="1" applyAlignment="1" applyProtection="1">
      <alignment horizontal="right"/>
      <protection hidden="1"/>
    </xf>
    <xf numFmtId="8" fontId="31" fillId="7" borderId="25" xfId="4" applyNumberFormat="1" applyFont="1" applyFill="1" applyBorder="1" applyAlignment="1" applyProtection="1">
      <alignment horizontal="right" vertical="center"/>
      <protection hidden="1"/>
    </xf>
    <xf numFmtId="177" fontId="31" fillId="7" borderId="23" xfId="4" applyNumberFormat="1" applyFont="1" applyFill="1" applyBorder="1" applyAlignment="1" applyProtection="1">
      <alignment horizontal="right" vertical="center"/>
      <protection hidden="1"/>
    </xf>
    <xf numFmtId="43" fontId="31" fillId="7" borderId="23" xfId="1" applyFont="1" applyFill="1" applyBorder="1" applyAlignment="1" applyProtection="1">
      <alignment horizontal="right" vertical="center"/>
      <protection hidden="1"/>
    </xf>
    <xf numFmtId="178" fontId="13" fillId="7" borderId="28" xfId="3" applyNumberFormat="1" applyFont="1" applyFill="1" applyBorder="1" applyAlignment="1" applyProtection="1">
      <alignment horizontal="right"/>
      <protection hidden="1"/>
    </xf>
    <xf numFmtId="0" fontId="31" fillId="7" borderId="28" xfId="3" applyFont="1" applyFill="1" applyBorder="1" applyAlignment="1" applyProtection="1">
      <alignment horizontal="right"/>
      <protection hidden="1"/>
    </xf>
    <xf numFmtId="40" fontId="32" fillId="5" borderId="23" xfId="3" applyNumberFormat="1" applyFont="1" applyFill="1" applyBorder="1" applyAlignment="1" applyProtection="1">
      <alignment horizontal="center"/>
      <protection hidden="1"/>
    </xf>
    <xf numFmtId="40" fontId="32" fillId="5" borderId="23" xfId="3" applyNumberFormat="1" applyFont="1" applyFill="1" applyBorder="1" applyAlignment="1" applyProtection="1">
      <alignment horizontal="right"/>
      <protection hidden="1"/>
    </xf>
    <xf numFmtId="40" fontId="32" fillId="7" borderId="23" xfId="3" applyNumberFormat="1" applyFont="1" applyFill="1" applyBorder="1" applyAlignment="1" applyProtection="1">
      <alignment horizontal="right"/>
      <protection hidden="1"/>
    </xf>
    <xf numFmtId="40" fontId="32" fillId="0" borderId="0" xfId="3" applyNumberFormat="1" applyFont="1" applyFill="1" applyBorder="1" applyAlignment="1" applyProtection="1">
      <alignment horizontal="right"/>
      <protection hidden="1"/>
    </xf>
    <xf numFmtId="0" fontId="33" fillId="6" borderId="0" xfId="0" applyFont="1" applyFill="1" applyProtection="1">
      <protection locked="0"/>
    </xf>
    <xf numFmtId="0" fontId="34" fillId="5" borderId="23" xfId="3" applyFont="1" applyFill="1" applyBorder="1" applyAlignment="1" applyProtection="1">
      <alignment horizontal="center"/>
      <protection hidden="1"/>
    </xf>
    <xf numFmtId="0" fontId="31" fillId="0" borderId="0" xfId="3" applyFont="1" applyFill="1" applyBorder="1" applyAlignment="1" applyProtection="1">
      <protection hidden="1"/>
    </xf>
    <xf numFmtId="0" fontId="31" fillId="0" borderId="0" xfId="3" applyFont="1" applyFill="1" applyBorder="1" applyAlignment="1" applyProtection="1">
      <alignment horizontal="center"/>
      <protection hidden="1"/>
    </xf>
    <xf numFmtId="0" fontId="5" fillId="6" borderId="0" xfId="0" applyFont="1" applyFill="1" applyProtection="1">
      <protection locked="0"/>
    </xf>
    <xf numFmtId="177" fontId="31" fillId="7" borderId="23" xfId="4" applyNumberFormat="1" applyFont="1" applyFill="1" applyBorder="1" applyAlignment="1" applyProtection="1">
      <alignment vertical="center"/>
      <protection hidden="1"/>
    </xf>
    <xf numFmtId="0" fontId="34" fillId="5" borderId="0" xfId="3" applyFont="1" applyFill="1" applyAlignment="1" applyProtection="1">
      <alignment horizontal="center"/>
      <protection hidden="1"/>
    </xf>
    <xf numFmtId="0" fontId="31" fillId="5" borderId="0" xfId="3" applyFont="1" applyFill="1" applyAlignment="1" applyProtection="1">
      <alignment horizontal="center"/>
      <protection hidden="1"/>
    </xf>
    <xf numFmtId="0" fontId="35" fillId="5" borderId="0" xfId="3" applyFont="1" applyFill="1" applyAlignment="1" applyProtection="1">
      <protection hidden="1"/>
    </xf>
    <xf numFmtId="10" fontId="31" fillId="7" borderId="23" xfId="3" applyNumberFormat="1" applyFont="1" applyFill="1" applyBorder="1" applyAlignment="1" applyProtection="1">
      <protection hidden="1"/>
    </xf>
    <xf numFmtId="0" fontId="31" fillId="5" borderId="0" xfId="3" applyFont="1" applyFill="1" applyBorder="1" applyAlignment="1" applyProtection="1">
      <alignment horizontal="center"/>
      <protection hidden="1"/>
    </xf>
    <xf numFmtId="0" fontId="34" fillId="5" borderId="0" xfId="3" applyFont="1" applyFill="1" applyAlignment="1" applyProtection="1">
      <alignment horizontal="left"/>
      <protection hidden="1"/>
    </xf>
    <xf numFmtId="0" fontId="31" fillId="5" borderId="0" xfId="3" applyFont="1" applyFill="1" applyAlignment="1" applyProtection="1">
      <alignment horizontal="left"/>
      <protection hidden="1"/>
    </xf>
    <xf numFmtId="10" fontId="31" fillId="7" borderId="23" xfId="5" applyNumberFormat="1" applyFont="1" applyFill="1" applyBorder="1" applyAlignment="1" applyProtection="1">
      <alignment vertical="center"/>
      <protection hidden="1"/>
    </xf>
    <xf numFmtId="0" fontId="31" fillId="7" borderId="23" xfId="3" applyFont="1" applyFill="1" applyBorder="1" applyAlignment="1" applyProtection="1">
      <protection hidden="1"/>
    </xf>
    <xf numFmtId="0" fontId="31" fillId="7" borderId="23" xfId="3" applyFont="1" applyFill="1" applyBorder="1" applyAlignment="1" applyProtection="1">
      <alignment horizontal="center"/>
      <protection hidden="1"/>
    </xf>
    <xf numFmtId="179" fontId="31" fillId="7" borderId="23" xfId="3" applyNumberFormat="1" applyFont="1" applyFill="1" applyBorder="1" applyAlignment="1" applyProtection="1">
      <protection hidden="1"/>
    </xf>
    <xf numFmtId="0" fontId="36" fillId="5" borderId="0" xfId="3" applyFont="1" applyFill="1" applyAlignment="1" applyProtection="1">
      <alignment horizontal="centerContinuous"/>
      <protection hidden="1"/>
    </xf>
    <xf numFmtId="178" fontId="13" fillId="9" borderId="23" xfId="4" applyNumberFormat="1" applyFont="1" applyFill="1" applyBorder="1" applyAlignment="1" applyProtection="1">
      <alignment horizontal="center" vertical="center"/>
      <protection locked="0"/>
    </xf>
    <xf numFmtId="43" fontId="20" fillId="5" borderId="0" xfId="1" applyFont="1" applyFill="1" applyAlignment="1" applyProtection="1">
      <alignment horizontal="centerContinuous"/>
      <protection hidden="1"/>
    </xf>
    <xf numFmtId="43" fontId="21" fillId="5" borderId="0" xfId="1" applyFont="1" applyFill="1" applyAlignment="1" applyProtection="1">
      <alignment horizontal="center"/>
      <protection hidden="1"/>
    </xf>
    <xf numFmtId="43" fontId="31" fillId="5" borderId="0" xfId="1" applyFont="1" applyFill="1" applyAlignment="1" applyProtection="1">
      <alignment horizontal="center"/>
      <protection hidden="1"/>
    </xf>
    <xf numFmtId="43" fontId="25" fillId="8" borderId="23" xfId="1" applyFont="1" applyFill="1" applyBorder="1" applyAlignment="1" applyProtection="1">
      <alignment horizontal="center"/>
      <protection hidden="1"/>
    </xf>
    <xf numFmtId="43" fontId="32" fillId="7" borderId="23" xfId="1" applyFont="1" applyFill="1" applyBorder="1" applyAlignment="1" applyProtection="1">
      <alignment horizontal="right"/>
      <protection hidden="1"/>
    </xf>
    <xf numFmtId="43" fontId="21" fillId="5" borderId="23" xfId="1" applyFont="1" applyFill="1" applyBorder="1" applyAlignment="1" applyProtection="1">
      <alignment horizontal="right"/>
      <protection hidden="1"/>
    </xf>
    <xf numFmtId="43" fontId="31" fillId="5" borderId="23" xfId="1" applyFont="1" applyFill="1" applyBorder="1" applyAlignment="1" applyProtection="1">
      <alignment horizontal="center"/>
      <protection hidden="1"/>
    </xf>
    <xf numFmtId="43" fontId="31" fillId="5" borderId="23" xfId="1" applyFont="1" applyFill="1" applyBorder="1" applyAlignment="1" applyProtection="1">
      <alignment horizontal="right"/>
      <protection hidden="1"/>
    </xf>
    <xf numFmtId="43" fontId="0" fillId="5" borderId="0" xfId="1" applyFont="1" applyFill="1" applyAlignment="1" applyProtection="1">
      <protection locked="0"/>
    </xf>
    <xf numFmtId="43" fontId="0" fillId="6" borderId="0" xfId="1" applyFont="1" applyFill="1" applyAlignment="1" applyProtection="1">
      <protection locked="0"/>
    </xf>
    <xf numFmtId="43" fontId="31" fillId="5" borderId="23" xfId="3" applyNumberFormat="1" applyFont="1" applyFill="1" applyBorder="1" applyAlignment="1" applyProtection="1">
      <alignment horizontal="center"/>
      <protection hidden="1"/>
    </xf>
    <xf numFmtId="0" fontId="6" fillId="10" borderId="14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43" fontId="6" fillId="9" borderId="14" xfId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vertical="center" wrapText="1"/>
    </xf>
    <xf numFmtId="0" fontId="6" fillId="10" borderId="13" xfId="0" applyFont="1" applyFill="1" applyBorder="1" applyAlignment="1">
      <alignment horizontal="center" vertical="center"/>
    </xf>
    <xf numFmtId="10" fontId="5" fillId="2" borderId="14" xfId="2" applyNumberFormat="1" applyFont="1" applyFill="1" applyBorder="1" applyAlignment="1">
      <alignment vertical="center"/>
    </xf>
    <xf numFmtId="0" fontId="28" fillId="5" borderId="0" xfId="0" applyFont="1" applyFill="1" applyProtection="1">
      <protection hidden="1"/>
    </xf>
    <xf numFmtId="0" fontId="37" fillId="5" borderId="0" xfId="0" applyFont="1" applyFill="1" applyProtection="1">
      <protection hidden="1"/>
    </xf>
    <xf numFmtId="0" fontId="37" fillId="5" borderId="0" xfId="0" applyFont="1" applyFill="1" applyAlignment="1" applyProtection="1">
      <alignment horizontal="right"/>
      <protection hidden="1"/>
    </xf>
    <xf numFmtId="0" fontId="38" fillId="5" borderId="0" xfId="0" applyFont="1" applyFill="1" applyProtection="1">
      <protection hidden="1"/>
    </xf>
    <xf numFmtId="0" fontId="0" fillId="11" borderId="0" xfId="0" applyFill="1" applyProtection="1">
      <protection locked="0"/>
    </xf>
    <xf numFmtId="0" fontId="26" fillId="5" borderId="0" xfId="0" applyFont="1" applyFill="1" applyProtection="1">
      <protection hidden="1"/>
    </xf>
    <xf numFmtId="0" fontId="39" fillId="5" borderId="0" xfId="0" applyFont="1" applyFill="1" applyProtection="1">
      <protection hidden="1"/>
    </xf>
    <xf numFmtId="0" fontId="39" fillId="5" borderId="0" xfId="0" applyFont="1" applyFill="1" applyAlignment="1" applyProtection="1">
      <alignment horizontal="right"/>
      <protection hidden="1"/>
    </xf>
    <xf numFmtId="0" fontId="40" fillId="5" borderId="0" xfId="0" applyFont="1" applyFill="1" applyProtection="1">
      <protection hidden="1"/>
    </xf>
    <xf numFmtId="0" fontId="39" fillId="5" borderId="0" xfId="0" applyFont="1" applyFill="1" applyAlignment="1" applyProtection="1">
      <protection hidden="1"/>
    </xf>
    <xf numFmtId="0" fontId="5" fillId="5" borderId="0" xfId="0" applyFont="1" applyFill="1"/>
    <xf numFmtId="8" fontId="5" fillId="5" borderId="0" xfId="0" applyNumberFormat="1" applyFont="1" applyFill="1" applyAlignment="1">
      <alignment horizontal="center"/>
    </xf>
    <xf numFmtId="43" fontId="35" fillId="5" borderId="0" xfId="1" applyFont="1" applyFill="1" applyAlignment="1" applyProtection="1">
      <alignment horizontal="center"/>
      <protection hidden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43" fontId="6" fillId="9" borderId="14" xfId="1" applyFont="1" applyFill="1" applyBorder="1" applyAlignment="1">
      <alignment vertical="center"/>
    </xf>
    <xf numFmtId="43" fontId="6" fillId="9" borderId="15" xfId="1" applyFont="1" applyFill="1" applyBorder="1" applyAlignment="1">
      <alignment vertical="center"/>
    </xf>
    <xf numFmtId="0" fontId="12" fillId="0" borderId="18" xfId="0" applyFont="1" applyBorder="1" applyAlignment="1">
      <alignment horizont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14" fontId="5" fillId="2" borderId="14" xfId="0" applyNumberFormat="1" applyFont="1" applyFill="1" applyBorder="1" applyAlignment="1">
      <alignment horizontal="center" vertical="center"/>
    </xf>
    <xf numFmtId="14" fontId="5" fillId="2" borderId="15" xfId="0" applyNumberFormat="1" applyFont="1" applyFill="1" applyBorder="1" applyAlignment="1">
      <alignment horizontal="center" vertical="center"/>
    </xf>
    <xf numFmtId="9" fontId="5" fillId="2" borderId="14" xfId="0" applyNumberFormat="1" applyFont="1" applyFill="1" applyBorder="1" applyAlignment="1">
      <alignment horizontal="center" vertical="center"/>
    </xf>
    <xf numFmtId="9" fontId="5" fillId="2" borderId="15" xfId="0" applyNumberFormat="1" applyFont="1" applyFill="1" applyBorder="1" applyAlignment="1">
      <alignment horizontal="center" vertical="center"/>
    </xf>
    <xf numFmtId="0" fontId="24" fillId="5" borderId="22" xfId="3" applyFont="1" applyFill="1" applyBorder="1" applyAlignment="1" applyProtection="1">
      <alignment horizontal="left" vertical="center"/>
      <protection locked="0" hidden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6">
    <cellStyle name="百分比" xfId="2" builtinId="5"/>
    <cellStyle name="百分比_Sheet2" xfId="5"/>
    <cellStyle name="常规" xfId="0" builtinId="0"/>
    <cellStyle name="常规_Sheet2" xfId="3"/>
    <cellStyle name="千位分隔" xfId="1" builtinId="3"/>
    <cellStyle name="千位分隔_Sheet2" xfId="4"/>
  </cellStyles>
  <dxfs count="2">
    <dxf>
      <fill>
        <patternFill patternType="solid">
          <bgColor indexed="10"/>
        </patternFill>
      </fill>
    </dxf>
    <dxf>
      <font>
        <b val="0"/>
        <condense val="0"/>
        <extend val="0"/>
        <color auto="1"/>
      </font>
      <fill>
        <patternFill patternType="solid">
          <bgColor indexed="11"/>
        </patternFill>
      </fill>
    </dxf>
  </dxf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99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17"/>
  <sheetViews>
    <sheetView showGridLines="0" tabSelected="1" workbookViewId="0">
      <selection activeCell="B2" sqref="B2:H2"/>
    </sheetView>
  </sheetViews>
  <sheetFormatPr defaultRowHeight="14.25"/>
  <cols>
    <col min="1" max="1" width="3.125" style="1" customWidth="1"/>
    <col min="2" max="2" width="26.375" style="1" customWidth="1"/>
    <col min="3" max="3" width="17.125" style="1" customWidth="1"/>
    <col min="4" max="4" width="15.875" style="1" customWidth="1"/>
    <col min="5" max="5" width="21.875" style="1" customWidth="1"/>
    <col min="6" max="6" width="15.125" style="1" customWidth="1"/>
    <col min="7" max="7" width="11" style="1" customWidth="1"/>
    <col min="8" max="8" width="11.625" style="1" bestFit="1" customWidth="1"/>
    <col min="9" max="9" width="12.25" style="1" bestFit="1" customWidth="1"/>
    <col min="10" max="11" width="14.5" style="1" customWidth="1"/>
    <col min="12" max="12" width="9.875" style="1" customWidth="1"/>
    <col min="13" max="13" width="11" style="1" customWidth="1"/>
    <col min="14" max="14" width="9.875" style="1" bestFit="1" customWidth="1"/>
    <col min="15" max="16384" width="9" style="1"/>
  </cols>
  <sheetData>
    <row r="2" spans="1:12" ht="28.5" thickBot="1">
      <c r="B2" s="142" t="s">
        <v>96</v>
      </c>
      <c r="C2" s="142"/>
      <c r="D2" s="142"/>
      <c r="E2" s="142"/>
      <c r="F2" s="142"/>
      <c r="G2" s="142"/>
      <c r="H2" s="142"/>
      <c r="L2" s="22"/>
    </row>
    <row r="3" spans="1:12" ht="34.5" customHeight="1" thickTop="1">
      <c r="B3" s="26" t="s">
        <v>77</v>
      </c>
      <c r="C3" s="27" t="s">
        <v>78</v>
      </c>
      <c r="D3" s="27" t="s">
        <v>79</v>
      </c>
      <c r="E3" s="27" t="s">
        <v>0</v>
      </c>
      <c r="F3" s="27" t="s">
        <v>24</v>
      </c>
      <c r="G3" s="143" t="s">
        <v>1</v>
      </c>
      <c r="H3" s="144"/>
    </row>
    <row r="4" spans="1:12" s="24" customFormat="1" ht="32.25" customHeight="1" thickBot="1">
      <c r="B4" s="64">
        <v>1000000</v>
      </c>
      <c r="C4" s="65">
        <v>0</v>
      </c>
      <c r="D4" s="66">
        <f>B4*C4</f>
        <v>0</v>
      </c>
      <c r="E4" s="121">
        <f>B4-D4</f>
        <v>1000000</v>
      </c>
      <c r="F4" s="117">
        <v>60</v>
      </c>
      <c r="G4" s="145">
        <v>41122</v>
      </c>
      <c r="H4" s="146"/>
    </row>
    <row r="5" spans="1:12" ht="31.5" customHeight="1" thickTop="1">
      <c r="B5" s="26" t="s">
        <v>25</v>
      </c>
      <c r="C5" s="27" t="s">
        <v>26</v>
      </c>
      <c r="D5" s="27" t="s">
        <v>29</v>
      </c>
      <c r="E5" s="122" t="s">
        <v>84</v>
      </c>
      <c r="F5" s="27" t="s">
        <v>14</v>
      </c>
      <c r="G5" s="143" t="s">
        <v>91</v>
      </c>
      <c r="H5" s="144"/>
    </row>
    <row r="6" spans="1:12" s="24" customFormat="1" ht="32.25" customHeight="1" thickBot="1">
      <c r="B6" s="123" t="s">
        <v>56</v>
      </c>
      <c r="C6" s="65">
        <v>0.25</v>
      </c>
      <c r="D6" s="68">
        <f>IF(B6=参数范围!G3,参数范围!I3,VLOOKUP(B6,参数范围!$G$4:$I$10,3,0)*(1+C6))</f>
        <v>0.08</v>
      </c>
      <c r="E6" s="124">
        <v>0.1</v>
      </c>
      <c r="F6" s="117" t="s">
        <v>86</v>
      </c>
      <c r="G6" s="147">
        <v>0.02</v>
      </c>
      <c r="H6" s="148"/>
    </row>
    <row r="7" spans="1:12" s="25" customFormat="1" ht="45" customHeight="1" thickTop="1">
      <c r="B7" s="119" t="s">
        <v>35</v>
      </c>
      <c r="C7" s="120" t="s">
        <v>94</v>
      </c>
      <c r="D7" s="120" t="s">
        <v>16</v>
      </c>
      <c r="E7" s="120" t="s">
        <v>36</v>
      </c>
      <c r="F7" s="120" t="s">
        <v>22</v>
      </c>
      <c r="G7" s="138" t="s">
        <v>30</v>
      </c>
      <c r="H7" s="139"/>
    </row>
    <row r="8" spans="1:12" s="25" customFormat="1" ht="27.75" customHeight="1" thickBot="1">
      <c r="B8" s="118">
        <f>F4/VLOOKUP($D$8,参数范围!$K$3:$M$10,3,0)</f>
        <v>60</v>
      </c>
      <c r="C8" s="67">
        <v>0</v>
      </c>
      <c r="D8" s="117" t="s">
        <v>82</v>
      </c>
      <c r="E8" s="67">
        <v>0</v>
      </c>
      <c r="F8" s="117">
        <v>0</v>
      </c>
      <c r="G8" s="140">
        <f>-PMT(D6/VLOOKUP($D$8,参数范围!$K$3:$L$10,2,0),F4/VLOOKUP($D$8,参数范围!$K$3:$M$10,3,0),E4*(1-0),E8,F8)</f>
        <v>20276.394288413681</v>
      </c>
      <c r="H8" s="141"/>
    </row>
    <row r="9" spans="1:12" ht="15" thickTop="1"/>
    <row r="10" spans="1:12" s="21" customFormat="1"/>
    <row r="11" spans="1:12" s="129" customFormat="1" ht="20.25">
      <c r="A11" s="125" t="s">
        <v>89</v>
      </c>
      <c r="B11" s="126"/>
      <c r="C11" s="127"/>
      <c r="D11" s="128"/>
      <c r="E11" s="128"/>
      <c r="F11" s="128"/>
    </row>
    <row r="12" spans="1:12" s="129" customFormat="1" ht="20.25">
      <c r="A12" s="130"/>
      <c r="B12" s="131" t="s">
        <v>90</v>
      </c>
      <c r="C12" s="132"/>
      <c r="D12" s="130"/>
      <c r="E12" s="133"/>
      <c r="F12" s="133"/>
    </row>
    <row r="13" spans="1:12" s="129" customFormat="1" ht="20.25">
      <c r="A13" s="130"/>
      <c r="B13" s="131" t="s">
        <v>93</v>
      </c>
      <c r="C13" s="132"/>
      <c r="D13" s="130"/>
      <c r="E13" s="133"/>
      <c r="F13" s="133"/>
    </row>
    <row r="14" spans="1:12" s="129" customFormat="1" ht="20.25">
      <c r="A14" s="130"/>
      <c r="B14" s="134" t="s">
        <v>92</v>
      </c>
      <c r="C14" s="132"/>
      <c r="D14" s="130"/>
      <c r="E14" s="133"/>
      <c r="F14" s="133"/>
    </row>
    <row r="15" spans="1:12" s="135" customFormat="1">
      <c r="F15" s="136"/>
    </row>
    <row r="16" spans="1:12">
      <c r="F16" s="23"/>
    </row>
    <row r="17" spans="6:6">
      <c r="F17" s="23"/>
    </row>
  </sheetData>
  <mergeCells count="7">
    <mergeCell ref="G7:H7"/>
    <mergeCell ref="G8:H8"/>
    <mergeCell ref="B2:H2"/>
    <mergeCell ref="G3:H3"/>
    <mergeCell ref="G4:H4"/>
    <mergeCell ref="G5:H5"/>
    <mergeCell ref="G6:H6"/>
  </mergeCells>
  <phoneticPr fontId="3" type="noConversion"/>
  <dataValidations count="1">
    <dataValidation type="date" allowBlank="1" showInputMessage="1" showErrorMessage="1" sqref="G4">
      <formula1>41122</formula1>
      <formula2>2958465</formula2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参数范围!$A$3:$A$20</xm:f>
          </x14:formula1>
          <xm:sqref>F4</xm:sqref>
        </x14:dataValidation>
        <x14:dataValidation type="list" allowBlank="1" showInputMessage="1" showErrorMessage="1">
          <x14:formula1>
            <xm:f>参数范围!$G$3:$G$20</xm:f>
          </x14:formula1>
          <xm:sqref>B6</xm:sqref>
        </x14:dataValidation>
        <x14:dataValidation type="list" allowBlank="1" showInputMessage="1" showErrorMessage="1">
          <x14:formula1>
            <xm:f>参数范围!$C$3:$C$20</xm:f>
          </x14:formula1>
          <xm:sqref>F6</xm:sqref>
        </x14:dataValidation>
        <x14:dataValidation type="list" allowBlank="1" showInputMessage="1" showErrorMessage="1">
          <x14:formula1>
            <xm:f>参数范围!$E$3:$E$4</xm:f>
          </x14:formula1>
          <xm:sqref>F8</xm:sqref>
        </x14:dataValidation>
        <x14:dataValidation type="list" allowBlank="1" showInputMessage="1" showErrorMessage="1">
          <x14:formula1>
            <xm:f>参数范围!$D$3:$D$20</xm:f>
          </x14:formula1>
          <xm:sqref>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workbookViewId="0"/>
  </sheetViews>
  <sheetFormatPr defaultRowHeight="14.25"/>
  <cols>
    <col min="1" max="1" width="10.75" style="41" customWidth="1"/>
    <col min="2" max="2" width="11.125" style="41" customWidth="1"/>
    <col min="3" max="3" width="5" style="41" bestFit="1" customWidth="1"/>
    <col min="4" max="4" width="13.875" style="41" customWidth="1"/>
    <col min="5" max="5" width="13" style="41" customWidth="1"/>
    <col min="6" max="6" width="12.25" style="41" customWidth="1"/>
    <col min="7" max="7" width="11.875" style="115" customWidth="1"/>
    <col min="8" max="8" width="13" style="63" hidden="1" customWidth="1"/>
    <col min="9" max="9" width="12.25" style="63" hidden="1" customWidth="1"/>
    <col min="10" max="10" width="14.125" style="63" hidden="1" customWidth="1"/>
    <col min="11" max="256" width="9" style="41"/>
    <col min="257" max="257" width="10.75" style="41" customWidth="1"/>
    <col min="258" max="258" width="11.125" style="41" customWidth="1"/>
    <col min="259" max="259" width="5" style="41" bestFit="1" customWidth="1"/>
    <col min="260" max="260" width="13.875" style="41" customWidth="1"/>
    <col min="261" max="261" width="13" style="41" customWidth="1"/>
    <col min="262" max="262" width="12.25" style="41" customWidth="1"/>
    <col min="263" max="263" width="11.875" style="41" customWidth="1"/>
    <col min="264" max="266" width="0" style="41" hidden="1" customWidth="1"/>
    <col min="267" max="512" width="9" style="41"/>
    <col min="513" max="513" width="10.75" style="41" customWidth="1"/>
    <col min="514" max="514" width="11.125" style="41" customWidth="1"/>
    <col min="515" max="515" width="5" style="41" bestFit="1" customWidth="1"/>
    <col min="516" max="516" width="13.875" style="41" customWidth="1"/>
    <col min="517" max="517" width="13" style="41" customWidth="1"/>
    <col min="518" max="518" width="12.25" style="41" customWidth="1"/>
    <col min="519" max="519" width="11.875" style="41" customWidth="1"/>
    <col min="520" max="522" width="0" style="41" hidden="1" customWidth="1"/>
    <col min="523" max="768" width="9" style="41"/>
    <col min="769" max="769" width="10.75" style="41" customWidth="1"/>
    <col min="770" max="770" width="11.125" style="41" customWidth="1"/>
    <col min="771" max="771" width="5" style="41" bestFit="1" customWidth="1"/>
    <col min="772" max="772" width="13.875" style="41" customWidth="1"/>
    <col min="773" max="773" width="13" style="41" customWidth="1"/>
    <col min="774" max="774" width="12.25" style="41" customWidth="1"/>
    <col min="775" max="775" width="11.875" style="41" customWidth="1"/>
    <col min="776" max="778" width="0" style="41" hidden="1" customWidth="1"/>
    <col min="779" max="1024" width="9" style="41"/>
    <col min="1025" max="1025" width="10.75" style="41" customWidth="1"/>
    <col min="1026" max="1026" width="11.125" style="41" customWidth="1"/>
    <col min="1027" max="1027" width="5" style="41" bestFit="1" customWidth="1"/>
    <col min="1028" max="1028" width="13.875" style="41" customWidth="1"/>
    <col min="1029" max="1029" width="13" style="41" customWidth="1"/>
    <col min="1030" max="1030" width="12.25" style="41" customWidth="1"/>
    <col min="1031" max="1031" width="11.875" style="41" customWidth="1"/>
    <col min="1032" max="1034" width="0" style="41" hidden="1" customWidth="1"/>
    <col min="1035" max="1280" width="9" style="41"/>
    <col min="1281" max="1281" width="10.75" style="41" customWidth="1"/>
    <col min="1282" max="1282" width="11.125" style="41" customWidth="1"/>
    <col min="1283" max="1283" width="5" style="41" bestFit="1" customWidth="1"/>
    <col min="1284" max="1284" width="13.875" style="41" customWidth="1"/>
    <col min="1285" max="1285" width="13" style="41" customWidth="1"/>
    <col min="1286" max="1286" width="12.25" style="41" customWidth="1"/>
    <col min="1287" max="1287" width="11.875" style="41" customWidth="1"/>
    <col min="1288" max="1290" width="0" style="41" hidden="1" customWidth="1"/>
    <col min="1291" max="1536" width="9" style="41"/>
    <col min="1537" max="1537" width="10.75" style="41" customWidth="1"/>
    <col min="1538" max="1538" width="11.125" style="41" customWidth="1"/>
    <col min="1539" max="1539" width="5" style="41" bestFit="1" customWidth="1"/>
    <col min="1540" max="1540" width="13.875" style="41" customWidth="1"/>
    <col min="1541" max="1541" width="13" style="41" customWidth="1"/>
    <col min="1542" max="1542" width="12.25" style="41" customWidth="1"/>
    <col min="1543" max="1543" width="11.875" style="41" customWidth="1"/>
    <col min="1544" max="1546" width="0" style="41" hidden="1" customWidth="1"/>
    <col min="1547" max="1792" width="9" style="41"/>
    <col min="1793" max="1793" width="10.75" style="41" customWidth="1"/>
    <col min="1794" max="1794" width="11.125" style="41" customWidth="1"/>
    <col min="1795" max="1795" width="5" style="41" bestFit="1" customWidth="1"/>
    <col min="1796" max="1796" width="13.875" style="41" customWidth="1"/>
    <col min="1797" max="1797" width="13" style="41" customWidth="1"/>
    <col min="1798" max="1798" width="12.25" style="41" customWidth="1"/>
    <col min="1799" max="1799" width="11.875" style="41" customWidth="1"/>
    <col min="1800" max="1802" width="0" style="41" hidden="1" customWidth="1"/>
    <col min="1803" max="2048" width="9" style="41"/>
    <col min="2049" max="2049" width="10.75" style="41" customWidth="1"/>
    <col min="2050" max="2050" width="11.125" style="41" customWidth="1"/>
    <col min="2051" max="2051" width="5" style="41" bestFit="1" customWidth="1"/>
    <col min="2052" max="2052" width="13.875" style="41" customWidth="1"/>
    <col min="2053" max="2053" width="13" style="41" customWidth="1"/>
    <col min="2054" max="2054" width="12.25" style="41" customWidth="1"/>
    <col min="2055" max="2055" width="11.875" style="41" customWidth="1"/>
    <col min="2056" max="2058" width="0" style="41" hidden="1" customWidth="1"/>
    <col min="2059" max="2304" width="9" style="41"/>
    <col min="2305" max="2305" width="10.75" style="41" customWidth="1"/>
    <col min="2306" max="2306" width="11.125" style="41" customWidth="1"/>
    <col min="2307" max="2307" width="5" style="41" bestFit="1" customWidth="1"/>
    <col min="2308" max="2308" width="13.875" style="41" customWidth="1"/>
    <col min="2309" max="2309" width="13" style="41" customWidth="1"/>
    <col min="2310" max="2310" width="12.25" style="41" customWidth="1"/>
    <col min="2311" max="2311" width="11.875" style="41" customWidth="1"/>
    <col min="2312" max="2314" width="0" style="41" hidden="1" customWidth="1"/>
    <col min="2315" max="2560" width="9" style="41"/>
    <col min="2561" max="2561" width="10.75" style="41" customWidth="1"/>
    <col min="2562" max="2562" width="11.125" style="41" customWidth="1"/>
    <col min="2563" max="2563" width="5" style="41" bestFit="1" customWidth="1"/>
    <col min="2564" max="2564" width="13.875" style="41" customWidth="1"/>
    <col min="2565" max="2565" width="13" style="41" customWidth="1"/>
    <col min="2566" max="2566" width="12.25" style="41" customWidth="1"/>
    <col min="2567" max="2567" width="11.875" style="41" customWidth="1"/>
    <col min="2568" max="2570" width="0" style="41" hidden="1" customWidth="1"/>
    <col min="2571" max="2816" width="9" style="41"/>
    <col min="2817" max="2817" width="10.75" style="41" customWidth="1"/>
    <col min="2818" max="2818" width="11.125" style="41" customWidth="1"/>
    <col min="2819" max="2819" width="5" style="41" bestFit="1" customWidth="1"/>
    <col min="2820" max="2820" width="13.875" style="41" customWidth="1"/>
    <col min="2821" max="2821" width="13" style="41" customWidth="1"/>
    <col min="2822" max="2822" width="12.25" style="41" customWidth="1"/>
    <col min="2823" max="2823" width="11.875" style="41" customWidth="1"/>
    <col min="2824" max="2826" width="0" style="41" hidden="1" customWidth="1"/>
    <col min="2827" max="3072" width="9" style="41"/>
    <col min="3073" max="3073" width="10.75" style="41" customWidth="1"/>
    <col min="3074" max="3074" width="11.125" style="41" customWidth="1"/>
    <col min="3075" max="3075" width="5" style="41" bestFit="1" customWidth="1"/>
    <col min="3076" max="3076" width="13.875" style="41" customWidth="1"/>
    <col min="3077" max="3077" width="13" style="41" customWidth="1"/>
    <col min="3078" max="3078" width="12.25" style="41" customWidth="1"/>
    <col min="3079" max="3079" width="11.875" style="41" customWidth="1"/>
    <col min="3080" max="3082" width="0" style="41" hidden="1" customWidth="1"/>
    <col min="3083" max="3328" width="9" style="41"/>
    <col min="3329" max="3329" width="10.75" style="41" customWidth="1"/>
    <col min="3330" max="3330" width="11.125" style="41" customWidth="1"/>
    <col min="3331" max="3331" width="5" style="41" bestFit="1" customWidth="1"/>
    <col min="3332" max="3332" width="13.875" style="41" customWidth="1"/>
    <col min="3333" max="3333" width="13" style="41" customWidth="1"/>
    <col min="3334" max="3334" width="12.25" style="41" customWidth="1"/>
    <col min="3335" max="3335" width="11.875" style="41" customWidth="1"/>
    <col min="3336" max="3338" width="0" style="41" hidden="1" customWidth="1"/>
    <col min="3339" max="3584" width="9" style="41"/>
    <col min="3585" max="3585" width="10.75" style="41" customWidth="1"/>
    <col min="3586" max="3586" width="11.125" style="41" customWidth="1"/>
    <col min="3587" max="3587" width="5" style="41" bestFit="1" customWidth="1"/>
    <col min="3588" max="3588" width="13.875" style="41" customWidth="1"/>
    <col min="3589" max="3589" width="13" style="41" customWidth="1"/>
    <col min="3590" max="3590" width="12.25" style="41" customWidth="1"/>
    <col min="3591" max="3591" width="11.875" style="41" customWidth="1"/>
    <col min="3592" max="3594" width="0" style="41" hidden="1" customWidth="1"/>
    <col min="3595" max="3840" width="9" style="41"/>
    <col min="3841" max="3841" width="10.75" style="41" customWidth="1"/>
    <col min="3842" max="3842" width="11.125" style="41" customWidth="1"/>
    <col min="3843" max="3843" width="5" style="41" bestFit="1" customWidth="1"/>
    <col min="3844" max="3844" width="13.875" style="41" customWidth="1"/>
    <col min="3845" max="3845" width="13" style="41" customWidth="1"/>
    <col min="3846" max="3846" width="12.25" style="41" customWidth="1"/>
    <col min="3847" max="3847" width="11.875" style="41" customWidth="1"/>
    <col min="3848" max="3850" width="0" style="41" hidden="1" customWidth="1"/>
    <col min="3851" max="4096" width="9" style="41"/>
    <col min="4097" max="4097" width="10.75" style="41" customWidth="1"/>
    <col min="4098" max="4098" width="11.125" style="41" customWidth="1"/>
    <col min="4099" max="4099" width="5" style="41" bestFit="1" customWidth="1"/>
    <col min="4100" max="4100" width="13.875" style="41" customWidth="1"/>
    <col min="4101" max="4101" width="13" style="41" customWidth="1"/>
    <col min="4102" max="4102" width="12.25" style="41" customWidth="1"/>
    <col min="4103" max="4103" width="11.875" style="41" customWidth="1"/>
    <col min="4104" max="4106" width="0" style="41" hidden="1" customWidth="1"/>
    <col min="4107" max="4352" width="9" style="41"/>
    <col min="4353" max="4353" width="10.75" style="41" customWidth="1"/>
    <col min="4354" max="4354" width="11.125" style="41" customWidth="1"/>
    <col min="4355" max="4355" width="5" style="41" bestFit="1" customWidth="1"/>
    <col min="4356" max="4356" width="13.875" style="41" customWidth="1"/>
    <col min="4357" max="4357" width="13" style="41" customWidth="1"/>
    <col min="4358" max="4358" width="12.25" style="41" customWidth="1"/>
    <col min="4359" max="4359" width="11.875" style="41" customWidth="1"/>
    <col min="4360" max="4362" width="0" style="41" hidden="1" customWidth="1"/>
    <col min="4363" max="4608" width="9" style="41"/>
    <col min="4609" max="4609" width="10.75" style="41" customWidth="1"/>
    <col min="4610" max="4610" width="11.125" style="41" customWidth="1"/>
    <col min="4611" max="4611" width="5" style="41" bestFit="1" customWidth="1"/>
    <col min="4612" max="4612" width="13.875" style="41" customWidth="1"/>
    <col min="4613" max="4613" width="13" style="41" customWidth="1"/>
    <col min="4614" max="4614" width="12.25" style="41" customWidth="1"/>
    <col min="4615" max="4615" width="11.875" style="41" customWidth="1"/>
    <col min="4616" max="4618" width="0" style="41" hidden="1" customWidth="1"/>
    <col min="4619" max="4864" width="9" style="41"/>
    <col min="4865" max="4865" width="10.75" style="41" customWidth="1"/>
    <col min="4866" max="4866" width="11.125" style="41" customWidth="1"/>
    <col min="4867" max="4867" width="5" style="41" bestFit="1" customWidth="1"/>
    <col min="4868" max="4868" width="13.875" style="41" customWidth="1"/>
    <col min="4869" max="4869" width="13" style="41" customWidth="1"/>
    <col min="4870" max="4870" width="12.25" style="41" customWidth="1"/>
    <col min="4871" max="4871" width="11.875" style="41" customWidth="1"/>
    <col min="4872" max="4874" width="0" style="41" hidden="1" customWidth="1"/>
    <col min="4875" max="5120" width="9" style="41"/>
    <col min="5121" max="5121" width="10.75" style="41" customWidth="1"/>
    <col min="5122" max="5122" width="11.125" style="41" customWidth="1"/>
    <col min="5123" max="5123" width="5" style="41" bestFit="1" customWidth="1"/>
    <col min="5124" max="5124" width="13.875" style="41" customWidth="1"/>
    <col min="5125" max="5125" width="13" style="41" customWidth="1"/>
    <col min="5126" max="5126" width="12.25" style="41" customWidth="1"/>
    <col min="5127" max="5127" width="11.875" style="41" customWidth="1"/>
    <col min="5128" max="5130" width="0" style="41" hidden="1" customWidth="1"/>
    <col min="5131" max="5376" width="9" style="41"/>
    <col min="5377" max="5377" width="10.75" style="41" customWidth="1"/>
    <col min="5378" max="5378" width="11.125" style="41" customWidth="1"/>
    <col min="5379" max="5379" width="5" style="41" bestFit="1" customWidth="1"/>
    <col min="5380" max="5380" width="13.875" style="41" customWidth="1"/>
    <col min="5381" max="5381" width="13" style="41" customWidth="1"/>
    <col min="5382" max="5382" width="12.25" style="41" customWidth="1"/>
    <col min="5383" max="5383" width="11.875" style="41" customWidth="1"/>
    <col min="5384" max="5386" width="0" style="41" hidden="1" customWidth="1"/>
    <col min="5387" max="5632" width="9" style="41"/>
    <col min="5633" max="5633" width="10.75" style="41" customWidth="1"/>
    <col min="5634" max="5634" width="11.125" style="41" customWidth="1"/>
    <col min="5635" max="5635" width="5" style="41" bestFit="1" customWidth="1"/>
    <col min="5636" max="5636" width="13.875" style="41" customWidth="1"/>
    <col min="5637" max="5637" width="13" style="41" customWidth="1"/>
    <col min="5638" max="5638" width="12.25" style="41" customWidth="1"/>
    <col min="5639" max="5639" width="11.875" style="41" customWidth="1"/>
    <col min="5640" max="5642" width="0" style="41" hidden="1" customWidth="1"/>
    <col min="5643" max="5888" width="9" style="41"/>
    <col min="5889" max="5889" width="10.75" style="41" customWidth="1"/>
    <col min="5890" max="5890" width="11.125" style="41" customWidth="1"/>
    <col min="5891" max="5891" width="5" style="41" bestFit="1" customWidth="1"/>
    <col min="5892" max="5892" width="13.875" style="41" customWidth="1"/>
    <col min="5893" max="5893" width="13" style="41" customWidth="1"/>
    <col min="5894" max="5894" width="12.25" style="41" customWidth="1"/>
    <col min="5895" max="5895" width="11.875" style="41" customWidth="1"/>
    <col min="5896" max="5898" width="0" style="41" hidden="1" customWidth="1"/>
    <col min="5899" max="6144" width="9" style="41"/>
    <col min="6145" max="6145" width="10.75" style="41" customWidth="1"/>
    <col min="6146" max="6146" width="11.125" style="41" customWidth="1"/>
    <col min="6147" max="6147" width="5" style="41" bestFit="1" customWidth="1"/>
    <col min="6148" max="6148" width="13.875" style="41" customWidth="1"/>
    <col min="6149" max="6149" width="13" style="41" customWidth="1"/>
    <col min="6150" max="6150" width="12.25" style="41" customWidth="1"/>
    <col min="6151" max="6151" width="11.875" style="41" customWidth="1"/>
    <col min="6152" max="6154" width="0" style="41" hidden="1" customWidth="1"/>
    <col min="6155" max="6400" width="9" style="41"/>
    <col min="6401" max="6401" width="10.75" style="41" customWidth="1"/>
    <col min="6402" max="6402" width="11.125" style="41" customWidth="1"/>
    <col min="6403" max="6403" width="5" style="41" bestFit="1" customWidth="1"/>
    <col min="6404" max="6404" width="13.875" style="41" customWidth="1"/>
    <col min="6405" max="6405" width="13" style="41" customWidth="1"/>
    <col min="6406" max="6406" width="12.25" style="41" customWidth="1"/>
    <col min="6407" max="6407" width="11.875" style="41" customWidth="1"/>
    <col min="6408" max="6410" width="0" style="41" hidden="1" customWidth="1"/>
    <col min="6411" max="6656" width="9" style="41"/>
    <col min="6657" max="6657" width="10.75" style="41" customWidth="1"/>
    <col min="6658" max="6658" width="11.125" style="41" customWidth="1"/>
    <col min="6659" max="6659" width="5" style="41" bestFit="1" customWidth="1"/>
    <col min="6660" max="6660" width="13.875" style="41" customWidth="1"/>
    <col min="6661" max="6661" width="13" style="41" customWidth="1"/>
    <col min="6662" max="6662" width="12.25" style="41" customWidth="1"/>
    <col min="6663" max="6663" width="11.875" style="41" customWidth="1"/>
    <col min="6664" max="6666" width="0" style="41" hidden="1" customWidth="1"/>
    <col min="6667" max="6912" width="9" style="41"/>
    <col min="6913" max="6913" width="10.75" style="41" customWidth="1"/>
    <col min="6914" max="6914" width="11.125" style="41" customWidth="1"/>
    <col min="6915" max="6915" width="5" style="41" bestFit="1" customWidth="1"/>
    <col min="6916" max="6916" width="13.875" style="41" customWidth="1"/>
    <col min="6917" max="6917" width="13" style="41" customWidth="1"/>
    <col min="6918" max="6918" width="12.25" style="41" customWidth="1"/>
    <col min="6919" max="6919" width="11.875" style="41" customWidth="1"/>
    <col min="6920" max="6922" width="0" style="41" hidden="1" customWidth="1"/>
    <col min="6923" max="7168" width="9" style="41"/>
    <col min="7169" max="7169" width="10.75" style="41" customWidth="1"/>
    <col min="7170" max="7170" width="11.125" style="41" customWidth="1"/>
    <col min="7171" max="7171" width="5" style="41" bestFit="1" customWidth="1"/>
    <col min="7172" max="7172" width="13.875" style="41" customWidth="1"/>
    <col min="7173" max="7173" width="13" style="41" customWidth="1"/>
    <col min="7174" max="7174" width="12.25" style="41" customWidth="1"/>
    <col min="7175" max="7175" width="11.875" style="41" customWidth="1"/>
    <col min="7176" max="7178" width="0" style="41" hidden="1" customWidth="1"/>
    <col min="7179" max="7424" width="9" style="41"/>
    <col min="7425" max="7425" width="10.75" style="41" customWidth="1"/>
    <col min="7426" max="7426" width="11.125" style="41" customWidth="1"/>
    <col min="7427" max="7427" width="5" style="41" bestFit="1" customWidth="1"/>
    <col min="7428" max="7428" width="13.875" style="41" customWidth="1"/>
    <col min="7429" max="7429" width="13" style="41" customWidth="1"/>
    <col min="7430" max="7430" width="12.25" style="41" customWidth="1"/>
    <col min="7431" max="7431" width="11.875" style="41" customWidth="1"/>
    <col min="7432" max="7434" width="0" style="41" hidden="1" customWidth="1"/>
    <col min="7435" max="7680" width="9" style="41"/>
    <col min="7681" max="7681" width="10.75" style="41" customWidth="1"/>
    <col min="7682" max="7682" width="11.125" style="41" customWidth="1"/>
    <col min="7683" max="7683" width="5" style="41" bestFit="1" customWidth="1"/>
    <col min="7684" max="7684" width="13.875" style="41" customWidth="1"/>
    <col min="7685" max="7685" width="13" style="41" customWidth="1"/>
    <col min="7686" max="7686" width="12.25" style="41" customWidth="1"/>
    <col min="7687" max="7687" width="11.875" style="41" customWidth="1"/>
    <col min="7688" max="7690" width="0" style="41" hidden="1" customWidth="1"/>
    <col min="7691" max="7936" width="9" style="41"/>
    <col min="7937" max="7937" width="10.75" style="41" customWidth="1"/>
    <col min="7938" max="7938" width="11.125" style="41" customWidth="1"/>
    <col min="7939" max="7939" width="5" style="41" bestFit="1" customWidth="1"/>
    <col min="7940" max="7940" width="13.875" style="41" customWidth="1"/>
    <col min="7941" max="7941" width="13" style="41" customWidth="1"/>
    <col min="7942" max="7942" width="12.25" style="41" customWidth="1"/>
    <col min="7943" max="7943" width="11.875" style="41" customWidth="1"/>
    <col min="7944" max="7946" width="0" style="41" hidden="1" customWidth="1"/>
    <col min="7947" max="8192" width="9" style="41"/>
    <col min="8193" max="8193" width="10.75" style="41" customWidth="1"/>
    <col min="8194" max="8194" width="11.125" style="41" customWidth="1"/>
    <col min="8195" max="8195" width="5" style="41" bestFit="1" customWidth="1"/>
    <col min="8196" max="8196" width="13.875" style="41" customWidth="1"/>
    <col min="8197" max="8197" width="13" style="41" customWidth="1"/>
    <col min="8198" max="8198" width="12.25" style="41" customWidth="1"/>
    <col min="8199" max="8199" width="11.875" style="41" customWidth="1"/>
    <col min="8200" max="8202" width="0" style="41" hidden="1" customWidth="1"/>
    <col min="8203" max="8448" width="9" style="41"/>
    <col min="8449" max="8449" width="10.75" style="41" customWidth="1"/>
    <col min="8450" max="8450" width="11.125" style="41" customWidth="1"/>
    <col min="8451" max="8451" width="5" style="41" bestFit="1" customWidth="1"/>
    <col min="8452" max="8452" width="13.875" style="41" customWidth="1"/>
    <col min="8453" max="8453" width="13" style="41" customWidth="1"/>
    <col min="8454" max="8454" width="12.25" style="41" customWidth="1"/>
    <col min="8455" max="8455" width="11.875" style="41" customWidth="1"/>
    <col min="8456" max="8458" width="0" style="41" hidden="1" customWidth="1"/>
    <col min="8459" max="8704" width="9" style="41"/>
    <col min="8705" max="8705" width="10.75" style="41" customWidth="1"/>
    <col min="8706" max="8706" width="11.125" style="41" customWidth="1"/>
    <col min="8707" max="8707" width="5" style="41" bestFit="1" customWidth="1"/>
    <col min="8708" max="8708" width="13.875" style="41" customWidth="1"/>
    <col min="8709" max="8709" width="13" style="41" customWidth="1"/>
    <col min="8710" max="8710" width="12.25" style="41" customWidth="1"/>
    <col min="8711" max="8711" width="11.875" style="41" customWidth="1"/>
    <col min="8712" max="8714" width="0" style="41" hidden="1" customWidth="1"/>
    <col min="8715" max="8960" width="9" style="41"/>
    <col min="8961" max="8961" width="10.75" style="41" customWidth="1"/>
    <col min="8962" max="8962" width="11.125" style="41" customWidth="1"/>
    <col min="8963" max="8963" width="5" style="41" bestFit="1" customWidth="1"/>
    <col min="8964" max="8964" width="13.875" style="41" customWidth="1"/>
    <col min="8965" max="8965" width="13" style="41" customWidth="1"/>
    <col min="8966" max="8966" width="12.25" style="41" customWidth="1"/>
    <col min="8967" max="8967" width="11.875" style="41" customWidth="1"/>
    <col min="8968" max="8970" width="0" style="41" hidden="1" customWidth="1"/>
    <col min="8971" max="9216" width="9" style="41"/>
    <col min="9217" max="9217" width="10.75" style="41" customWidth="1"/>
    <col min="9218" max="9218" width="11.125" style="41" customWidth="1"/>
    <col min="9219" max="9219" width="5" style="41" bestFit="1" customWidth="1"/>
    <col min="9220" max="9220" width="13.875" style="41" customWidth="1"/>
    <col min="9221" max="9221" width="13" style="41" customWidth="1"/>
    <col min="9222" max="9222" width="12.25" style="41" customWidth="1"/>
    <col min="9223" max="9223" width="11.875" style="41" customWidth="1"/>
    <col min="9224" max="9226" width="0" style="41" hidden="1" customWidth="1"/>
    <col min="9227" max="9472" width="9" style="41"/>
    <col min="9473" max="9473" width="10.75" style="41" customWidth="1"/>
    <col min="9474" max="9474" width="11.125" style="41" customWidth="1"/>
    <col min="9475" max="9475" width="5" style="41" bestFit="1" customWidth="1"/>
    <col min="9476" max="9476" width="13.875" style="41" customWidth="1"/>
    <col min="9477" max="9477" width="13" style="41" customWidth="1"/>
    <col min="9478" max="9478" width="12.25" style="41" customWidth="1"/>
    <col min="9479" max="9479" width="11.875" style="41" customWidth="1"/>
    <col min="9480" max="9482" width="0" style="41" hidden="1" customWidth="1"/>
    <col min="9483" max="9728" width="9" style="41"/>
    <col min="9729" max="9729" width="10.75" style="41" customWidth="1"/>
    <col min="9730" max="9730" width="11.125" style="41" customWidth="1"/>
    <col min="9731" max="9731" width="5" style="41" bestFit="1" customWidth="1"/>
    <col min="9732" max="9732" width="13.875" style="41" customWidth="1"/>
    <col min="9733" max="9733" width="13" style="41" customWidth="1"/>
    <col min="9734" max="9734" width="12.25" style="41" customWidth="1"/>
    <col min="9735" max="9735" width="11.875" style="41" customWidth="1"/>
    <col min="9736" max="9738" width="0" style="41" hidden="1" customWidth="1"/>
    <col min="9739" max="9984" width="9" style="41"/>
    <col min="9985" max="9985" width="10.75" style="41" customWidth="1"/>
    <col min="9986" max="9986" width="11.125" style="41" customWidth="1"/>
    <col min="9987" max="9987" width="5" style="41" bestFit="1" customWidth="1"/>
    <col min="9988" max="9988" width="13.875" style="41" customWidth="1"/>
    <col min="9989" max="9989" width="13" style="41" customWidth="1"/>
    <col min="9990" max="9990" width="12.25" style="41" customWidth="1"/>
    <col min="9991" max="9991" width="11.875" style="41" customWidth="1"/>
    <col min="9992" max="9994" width="0" style="41" hidden="1" customWidth="1"/>
    <col min="9995" max="10240" width="9" style="41"/>
    <col min="10241" max="10241" width="10.75" style="41" customWidth="1"/>
    <col min="10242" max="10242" width="11.125" style="41" customWidth="1"/>
    <col min="10243" max="10243" width="5" style="41" bestFit="1" customWidth="1"/>
    <col min="10244" max="10244" width="13.875" style="41" customWidth="1"/>
    <col min="10245" max="10245" width="13" style="41" customWidth="1"/>
    <col min="10246" max="10246" width="12.25" style="41" customWidth="1"/>
    <col min="10247" max="10247" width="11.875" style="41" customWidth="1"/>
    <col min="10248" max="10250" width="0" style="41" hidden="1" customWidth="1"/>
    <col min="10251" max="10496" width="9" style="41"/>
    <col min="10497" max="10497" width="10.75" style="41" customWidth="1"/>
    <col min="10498" max="10498" width="11.125" style="41" customWidth="1"/>
    <col min="10499" max="10499" width="5" style="41" bestFit="1" customWidth="1"/>
    <col min="10500" max="10500" width="13.875" style="41" customWidth="1"/>
    <col min="10501" max="10501" width="13" style="41" customWidth="1"/>
    <col min="10502" max="10502" width="12.25" style="41" customWidth="1"/>
    <col min="10503" max="10503" width="11.875" style="41" customWidth="1"/>
    <col min="10504" max="10506" width="0" style="41" hidden="1" customWidth="1"/>
    <col min="10507" max="10752" width="9" style="41"/>
    <col min="10753" max="10753" width="10.75" style="41" customWidth="1"/>
    <col min="10754" max="10754" width="11.125" style="41" customWidth="1"/>
    <col min="10755" max="10755" width="5" style="41" bestFit="1" customWidth="1"/>
    <col min="10756" max="10756" width="13.875" style="41" customWidth="1"/>
    <col min="10757" max="10757" width="13" style="41" customWidth="1"/>
    <col min="10758" max="10758" width="12.25" style="41" customWidth="1"/>
    <col min="10759" max="10759" width="11.875" style="41" customWidth="1"/>
    <col min="10760" max="10762" width="0" style="41" hidden="1" customWidth="1"/>
    <col min="10763" max="11008" width="9" style="41"/>
    <col min="11009" max="11009" width="10.75" style="41" customWidth="1"/>
    <col min="11010" max="11010" width="11.125" style="41" customWidth="1"/>
    <col min="11011" max="11011" width="5" style="41" bestFit="1" customWidth="1"/>
    <col min="11012" max="11012" width="13.875" style="41" customWidth="1"/>
    <col min="11013" max="11013" width="13" style="41" customWidth="1"/>
    <col min="11014" max="11014" width="12.25" style="41" customWidth="1"/>
    <col min="11015" max="11015" width="11.875" style="41" customWidth="1"/>
    <col min="11016" max="11018" width="0" style="41" hidden="1" customWidth="1"/>
    <col min="11019" max="11264" width="9" style="41"/>
    <col min="11265" max="11265" width="10.75" style="41" customWidth="1"/>
    <col min="11266" max="11266" width="11.125" style="41" customWidth="1"/>
    <col min="11267" max="11267" width="5" style="41" bestFit="1" customWidth="1"/>
    <col min="11268" max="11268" width="13.875" style="41" customWidth="1"/>
    <col min="11269" max="11269" width="13" style="41" customWidth="1"/>
    <col min="11270" max="11270" width="12.25" style="41" customWidth="1"/>
    <col min="11271" max="11271" width="11.875" style="41" customWidth="1"/>
    <col min="11272" max="11274" width="0" style="41" hidden="1" customWidth="1"/>
    <col min="11275" max="11520" width="9" style="41"/>
    <col min="11521" max="11521" width="10.75" style="41" customWidth="1"/>
    <col min="11522" max="11522" width="11.125" style="41" customWidth="1"/>
    <col min="11523" max="11523" width="5" style="41" bestFit="1" customWidth="1"/>
    <col min="11524" max="11524" width="13.875" style="41" customWidth="1"/>
    <col min="11525" max="11525" width="13" style="41" customWidth="1"/>
    <col min="11526" max="11526" width="12.25" style="41" customWidth="1"/>
    <col min="11527" max="11527" width="11.875" style="41" customWidth="1"/>
    <col min="11528" max="11530" width="0" style="41" hidden="1" customWidth="1"/>
    <col min="11531" max="11776" width="9" style="41"/>
    <col min="11777" max="11777" width="10.75" style="41" customWidth="1"/>
    <col min="11778" max="11778" width="11.125" style="41" customWidth="1"/>
    <col min="11779" max="11779" width="5" style="41" bestFit="1" customWidth="1"/>
    <col min="11780" max="11780" width="13.875" style="41" customWidth="1"/>
    <col min="11781" max="11781" width="13" style="41" customWidth="1"/>
    <col min="11782" max="11782" width="12.25" style="41" customWidth="1"/>
    <col min="11783" max="11783" width="11.875" style="41" customWidth="1"/>
    <col min="11784" max="11786" width="0" style="41" hidden="1" customWidth="1"/>
    <col min="11787" max="12032" width="9" style="41"/>
    <col min="12033" max="12033" width="10.75" style="41" customWidth="1"/>
    <col min="12034" max="12034" width="11.125" style="41" customWidth="1"/>
    <col min="12035" max="12035" width="5" style="41" bestFit="1" customWidth="1"/>
    <col min="12036" max="12036" width="13.875" style="41" customWidth="1"/>
    <col min="12037" max="12037" width="13" style="41" customWidth="1"/>
    <col min="12038" max="12038" width="12.25" style="41" customWidth="1"/>
    <col min="12039" max="12039" width="11.875" style="41" customWidth="1"/>
    <col min="12040" max="12042" width="0" style="41" hidden="1" customWidth="1"/>
    <col min="12043" max="12288" width="9" style="41"/>
    <col min="12289" max="12289" width="10.75" style="41" customWidth="1"/>
    <col min="12290" max="12290" width="11.125" style="41" customWidth="1"/>
    <col min="12291" max="12291" width="5" style="41" bestFit="1" customWidth="1"/>
    <col min="12292" max="12292" width="13.875" style="41" customWidth="1"/>
    <col min="12293" max="12293" width="13" style="41" customWidth="1"/>
    <col min="12294" max="12294" width="12.25" style="41" customWidth="1"/>
    <col min="12295" max="12295" width="11.875" style="41" customWidth="1"/>
    <col min="12296" max="12298" width="0" style="41" hidden="1" customWidth="1"/>
    <col min="12299" max="12544" width="9" style="41"/>
    <col min="12545" max="12545" width="10.75" style="41" customWidth="1"/>
    <col min="12546" max="12546" width="11.125" style="41" customWidth="1"/>
    <col min="12547" max="12547" width="5" style="41" bestFit="1" customWidth="1"/>
    <col min="12548" max="12548" width="13.875" style="41" customWidth="1"/>
    <col min="12549" max="12549" width="13" style="41" customWidth="1"/>
    <col min="12550" max="12550" width="12.25" style="41" customWidth="1"/>
    <col min="12551" max="12551" width="11.875" style="41" customWidth="1"/>
    <col min="12552" max="12554" width="0" style="41" hidden="1" customWidth="1"/>
    <col min="12555" max="12800" width="9" style="41"/>
    <col min="12801" max="12801" width="10.75" style="41" customWidth="1"/>
    <col min="12802" max="12802" width="11.125" style="41" customWidth="1"/>
    <col min="12803" max="12803" width="5" style="41" bestFit="1" customWidth="1"/>
    <col min="12804" max="12804" width="13.875" style="41" customWidth="1"/>
    <col min="12805" max="12805" width="13" style="41" customWidth="1"/>
    <col min="12806" max="12806" width="12.25" style="41" customWidth="1"/>
    <col min="12807" max="12807" width="11.875" style="41" customWidth="1"/>
    <col min="12808" max="12810" width="0" style="41" hidden="1" customWidth="1"/>
    <col min="12811" max="13056" width="9" style="41"/>
    <col min="13057" max="13057" width="10.75" style="41" customWidth="1"/>
    <col min="13058" max="13058" width="11.125" style="41" customWidth="1"/>
    <col min="13059" max="13059" width="5" style="41" bestFit="1" customWidth="1"/>
    <col min="13060" max="13060" width="13.875" style="41" customWidth="1"/>
    <col min="13061" max="13061" width="13" style="41" customWidth="1"/>
    <col min="13062" max="13062" width="12.25" style="41" customWidth="1"/>
    <col min="13063" max="13063" width="11.875" style="41" customWidth="1"/>
    <col min="13064" max="13066" width="0" style="41" hidden="1" customWidth="1"/>
    <col min="13067" max="13312" width="9" style="41"/>
    <col min="13313" max="13313" width="10.75" style="41" customWidth="1"/>
    <col min="13314" max="13314" width="11.125" style="41" customWidth="1"/>
    <col min="13315" max="13315" width="5" style="41" bestFit="1" customWidth="1"/>
    <col min="13316" max="13316" width="13.875" style="41" customWidth="1"/>
    <col min="13317" max="13317" width="13" style="41" customWidth="1"/>
    <col min="13318" max="13318" width="12.25" style="41" customWidth="1"/>
    <col min="13319" max="13319" width="11.875" style="41" customWidth="1"/>
    <col min="13320" max="13322" width="0" style="41" hidden="1" customWidth="1"/>
    <col min="13323" max="13568" width="9" style="41"/>
    <col min="13569" max="13569" width="10.75" style="41" customWidth="1"/>
    <col min="13570" max="13570" width="11.125" style="41" customWidth="1"/>
    <col min="13571" max="13571" width="5" style="41" bestFit="1" customWidth="1"/>
    <col min="13572" max="13572" width="13.875" style="41" customWidth="1"/>
    <col min="13573" max="13573" width="13" style="41" customWidth="1"/>
    <col min="13574" max="13574" width="12.25" style="41" customWidth="1"/>
    <col min="13575" max="13575" width="11.875" style="41" customWidth="1"/>
    <col min="13576" max="13578" width="0" style="41" hidden="1" customWidth="1"/>
    <col min="13579" max="13824" width="9" style="41"/>
    <col min="13825" max="13825" width="10.75" style="41" customWidth="1"/>
    <col min="13826" max="13826" width="11.125" style="41" customWidth="1"/>
    <col min="13827" max="13827" width="5" style="41" bestFit="1" customWidth="1"/>
    <col min="13828" max="13828" width="13.875" style="41" customWidth="1"/>
    <col min="13829" max="13829" width="13" style="41" customWidth="1"/>
    <col min="13830" max="13830" width="12.25" style="41" customWidth="1"/>
    <col min="13831" max="13831" width="11.875" style="41" customWidth="1"/>
    <col min="13832" max="13834" width="0" style="41" hidden="1" customWidth="1"/>
    <col min="13835" max="14080" width="9" style="41"/>
    <col min="14081" max="14081" width="10.75" style="41" customWidth="1"/>
    <col min="14082" max="14082" width="11.125" style="41" customWidth="1"/>
    <col min="14083" max="14083" width="5" style="41" bestFit="1" customWidth="1"/>
    <col min="14084" max="14084" width="13.875" style="41" customWidth="1"/>
    <col min="14085" max="14085" width="13" style="41" customWidth="1"/>
    <col min="14086" max="14086" width="12.25" style="41" customWidth="1"/>
    <col min="14087" max="14087" width="11.875" style="41" customWidth="1"/>
    <col min="14088" max="14090" width="0" style="41" hidden="1" customWidth="1"/>
    <col min="14091" max="14336" width="9" style="41"/>
    <col min="14337" max="14337" width="10.75" style="41" customWidth="1"/>
    <col min="14338" max="14338" width="11.125" style="41" customWidth="1"/>
    <col min="14339" max="14339" width="5" style="41" bestFit="1" customWidth="1"/>
    <col min="14340" max="14340" width="13.875" style="41" customWidth="1"/>
    <col min="14341" max="14341" width="13" style="41" customWidth="1"/>
    <col min="14342" max="14342" width="12.25" style="41" customWidth="1"/>
    <col min="14343" max="14343" width="11.875" style="41" customWidth="1"/>
    <col min="14344" max="14346" width="0" style="41" hidden="1" customWidth="1"/>
    <col min="14347" max="14592" width="9" style="41"/>
    <col min="14593" max="14593" width="10.75" style="41" customWidth="1"/>
    <col min="14594" max="14594" width="11.125" style="41" customWidth="1"/>
    <col min="14595" max="14595" width="5" style="41" bestFit="1" customWidth="1"/>
    <col min="14596" max="14596" width="13.875" style="41" customWidth="1"/>
    <col min="14597" max="14597" width="13" style="41" customWidth="1"/>
    <col min="14598" max="14598" width="12.25" style="41" customWidth="1"/>
    <col min="14599" max="14599" width="11.875" style="41" customWidth="1"/>
    <col min="14600" max="14602" width="0" style="41" hidden="1" customWidth="1"/>
    <col min="14603" max="14848" width="9" style="41"/>
    <col min="14849" max="14849" width="10.75" style="41" customWidth="1"/>
    <col min="14850" max="14850" width="11.125" style="41" customWidth="1"/>
    <col min="14851" max="14851" width="5" style="41" bestFit="1" customWidth="1"/>
    <col min="14852" max="14852" width="13.875" style="41" customWidth="1"/>
    <col min="14853" max="14853" width="13" style="41" customWidth="1"/>
    <col min="14854" max="14854" width="12.25" style="41" customWidth="1"/>
    <col min="14855" max="14855" width="11.875" style="41" customWidth="1"/>
    <col min="14856" max="14858" width="0" style="41" hidden="1" customWidth="1"/>
    <col min="14859" max="15104" width="9" style="41"/>
    <col min="15105" max="15105" width="10.75" style="41" customWidth="1"/>
    <col min="15106" max="15106" width="11.125" style="41" customWidth="1"/>
    <col min="15107" max="15107" width="5" style="41" bestFit="1" customWidth="1"/>
    <col min="15108" max="15108" width="13.875" style="41" customWidth="1"/>
    <col min="15109" max="15109" width="13" style="41" customWidth="1"/>
    <col min="15110" max="15110" width="12.25" style="41" customWidth="1"/>
    <col min="15111" max="15111" width="11.875" style="41" customWidth="1"/>
    <col min="15112" max="15114" width="0" style="41" hidden="1" customWidth="1"/>
    <col min="15115" max="15360" width="9" style="41"/>
    <col min="15361" max="15361" width="10.75" style="41" customWidth="1"/>
    <col min="15362" max="15362" width="11.125" style="41" customWidth="1"/>
    <col min="15363" max="15363" width="5" style="41" bestFit="1" customWidth="1"/>
    <col min="15364" max="15364" width="13.875" style="41" customWidth="1"/>
    <col min="15365" max="15365" width="13" style="41" customWidth="1"/>
    <col min="15366" max="15366" width="12.25" style="41" customWidth="1"/>
    <col min="15367" max="15367" width="11.875" style="41" customWidth="1"/>
    <col min="15368" max="15370" width="0" style="41" hidden="1" customWidth="1"/>
    <col min="15371" max="15616" width="9" style="41"/>
    <col min="15617" max="15617" width="10.75" style="41" customWidth="1"/>
    <col min="15618" max="15618" width="11.125" style="41" customWidth="1"/>
    <col min="15619" max="15619" width="5" style="41" bestFit="1" customWidth="1"/>
    <col min="15620" max="15620" width="13.875" style="41" customWidth="1"/>
    <col min="15621" max="15621" width="13" style="41" customWidth="1"/>
    <col min="15622" max="15622" width="12.25" style="41" customWidth="1"/>
    <col min="15623" max="15623" width="11.875" style="41" customWidth="1"/>
    <col min="15624" max="15626" width="0" style="41" hidden="1" customWidth="1"/>
    <col min="15627" max="15872" width="9" style="41"/>
    <col min="15873" max="15873" width="10.75" style="41" customWidth="1"/>
    <col min="15874" max="15874" width="11.125" style="41" customWidth="1"/>
    <col min="15875" max="15875" width="5" style="41" bestFit="1" customWidth="1"/>
    <col min="15876" max="15876" width="13.875" style="41" customWidth="1"/>
    <col min="15877" max="15877" width="13" style="41" customWidth="1"/>
    <col min="15878" max="15878" width="12.25" style="41" customWidth="1"/>
    <col min="15879" max="15879" width="11.875" style="41" customWidth="1"/>
    <col min="15880" max="15882" width="0" style="41" hidden="1" customWidth="1"/>
    <col min="15883" max="16128" width="9" style="41"/>
    <col min="16129" max="16129" width="10.75" style="41" customWidth="1"/>
    <col min="16130" max="16130" width="11.125" style="41" customWidth="1"/>
    <col min="16131" max="16131" width="5" style="41" bestFit="1" customWidth="1"/>
    <col min="16132" max="16132" width="13.875" style="41" customWidth="1"/>
    <col min="16133" max="16133" width="13" style="41" customWidth="1"/>
    <col min="16134" max="16134" width="12.25" style="41" customWidth="1"/>
    <col min="16135" max="16135" width="11.875" style="41" customWidth="1"/>
    <col min="16136" max="16138" width="0" style="41" hidden="1" customWidth="1"/>
    <col min="16139" max="16384" width="9" style="41"/>
  </cols>
  <sheetData>
    <row r="1" spans="1:10" ht="22.5">
      <c r="A1" s="104" t="s">
        <v>95</v>
      </c>
      <c r="B1" s="39"/>
      <c r="C1" s="39"/>
      <c r="D1" s="39"/>
      <c r="E1" s="39"/>
      <c r="F1" s="39"/>
      <c r="G1" s="106"/>
      <c r="H1" s="40"/>
      <c r="I1" s="40"/>
      <c r="J1" s="40"/>
    </row>
    <row r="2" spans="1:10" ht="14.25" customHeight="1">
      <c r="A2" s="45"/>
      <c r="B2" s="149"/>
      <c r="C2" s="149"/>
      <c r="D2" s="149"/>
      <c r="E2" s="149"/>
      <c r="F2" s="46"/>
      <c r="G2" s="107"/>
      <c r="H2" s="43"/>
      <c r="I2" s="46"/>
      <c r="J2" s="42"/>
    </row>
    <row r="3" spans="1:10" s="91" customFormat="1">
      <c r="A3" s="69" t="s">
        <v>57</v>
      </c>
      <c r="B3" s="92">
        <f>报价计算表!B4</f>
        <v>1000000</v>
      </c>
      <c r="C3" s="69"/>
      <c r="D3" s="69" t="s">
        <v>58</v>
      </c>
      <c r="E3" s="105">
        <f>报价计算表!G4</f>
        <v>41122</v>
      </c>
      <c r="F3" s="93"/>
      <c r="G3" s="108"/>
      <c r="H3" s="95"/>
      <c r="I3" s="94"/>
      <c r="J3" s="94"/>
    </row>
    <row r="4" spans="1:10" s="91" customFormat="1">
      <c r="A4" s="69" t="s">
        <v>59</v>
      </c>
      <c r="B4" s="96">
        <f>报价计算表!C4</f>
        <v>0</v>
      </c>
      <c r="C4" s="69"/>
      <c r="D4" s="69" t="s">
        <v>83</v>
      </c>
      <c r="E4" s="116">
        <f>报价计算表!B4*报价计算表!G6</f>
        <v>20000</v>
      </c>
      <c r="F4" s="94"/>
      <c r="G4" s="108"/>
      <c r="H4" s="97"/>
      <c r="I4" s="94"/>
      <c r="J4" s="94"/>
    </row>
    <row r="5" spans="1:10" s="91" customFormat="1">
      <c r="A5" s="69" t="s">
        <v>60</v>
      </c>
      <c r="B5" s="92">
        <f>B3*B4</f>
        <v>0</v>
      </c>
      <c r="C5" s="69"/>
      <c r="D5" s="69" t="s">
        <v>85</v>
      </c>
      <c r="E5" s="116">
        <f>报价计算表!E4*报价计算表!E6</f>
        <v>100000</v>
      </c>
      <c r="F5" s="98"/>
      <c r="G5" s="108"/>
      <c r="H5" s="97"/>
      <c r="I5" s="99"/>
      <c r="J5" s="94"/>
    </row>
    <row r="6" spans="1:10" s="91" customFormat="1">
      <c r="A6" s="69" t="s">
        <v>61</v>
      </c>
      <c r="B6" s="92">
        <f>报价计算表!E4</f>
        <v>1000000</v>
      </c>
      <c r="C6" s="69"/>
      <c r="D6" s="69"/>
      <c r="E6" s="69"/>
      <c r="F6" s="94"/>
      <c r="G6" s="108"/>
      <c r="H6" s="97"/>
      <c r="I6" s="94"/>
      <c r="J6" s="94"/>
    </row>
    <row r="7" spans="1:10" s="91" customFormat="1">
      <c r="A7" s="69" t="s">
        <v>62</v>
      </c>
      <c r="B7" s="100">
        <f>报价计算表!D6</f>
        <v>0.08</v>
      </c>
      <c r="C7" s="69"/>
      <c r="D7" s="69"/>
      <c r="E7" s="69"/>
      <c r="F7" s="94"/>
      <c r="G7" s="108"/>
      <c r="H7" s="97"/>
      <c r="I7" s="94"/>
      <c r="J7" s="94"/>
    </row>
    <row r="8" spans="1:10" s="91" customFormat="1">
      <c r="A8" s="69" t="s">
        <v>63</v>
      </c>
      <c r="B8" s="101">
        <f>报价计算表!B8</f>
        <v>60</v>
      </c>
      <c r="C8" s="69"/>
      <c r="D8" s="69" t="s">
        <v>80</v>
      </c>
      <c r="E8" s="102" t="str">
        <f>报价计算表!D8</f>
        <v>月</v>
      </c>
      <c r="F8" s="94"/>
      <c r="G8" s="108"/>
      <c r="H8" s="97"/>
      <c r="I8" s="94"/>
      <c r="J8" s="94"/>
    </row>
    <row r="9" spans="1:10" s="91" customFormat="1">
      <c r="A9" s="69" t="s">
        <v>81</v>
      </c>
      <c r="B9" s="103">
        <f>报价计算表!G8</f>
        <v>20276.394288413681</v>
      </c>
      <c r="C9" s="69"/>
      <c r="D9" s="69"/>
      <c r="E9" s="69"/>
      <c r="F9" s="94"/>
      <c r="G9" s="108"/>
      <c r="H9" s="97"/>
      <c r="I9" s="94"/>
      <c r="J9" s="94"/>
    </row>
    <row r="10" spans="1:10" ht="15.75">
      <c r="A10" s="42"/>
      <c r="B10" s="42"/>
      <c r="C10" s="42"/>
      <c r="D10" s="42"/>
      <c r="E10" s="42"/>
      <c r="F10" s="42"/>
      <c r="G10" s="137" t="s">
        <v>64</v>
      </c>
      <c r="H10" s="42"/>
      <c r="I10" s="42"/>
      <c r="J10" s="44"/>
    </row>
    <row r="11" spans="1:10">
      <c r="A11" s="48"/>
      <c r="B11" s="49"/>
      <c r="C11" s="49"/>
      <c r="D11" s="50" t="s">
        <v>65</v>
      </c>
      <c r="E11" s="50" t="s">
        <v>66</v>
      </c>
      <c r="F11" s="50" t="s">
        <v>67</v>
      </c>
      <c r="G11" s="109" t="s">
        <v>68</v>
      </c>
      <c r="H11" s="51" t="s">
        <v>66</v>
      </c>
      <c r="I11" s="51" t="s">
        <v>67</v>
      </c>
      <c r="J11" s="51" t="s">
        <v>68</v>
      </c>
    </row>
    <row r="12" spans="1:10" s="87" customFormat="1" ht="16.5">
      <c r="A12" s="83" t="s">
        <v>69</v>
      </c>
      <c r="B12" s="84"/>
      <c r="C12" s="84"/>
      <c r="D12" s="85">
        <f>SUM(D16:D76)</f>
        <v>1216583.6573048213</v>
      </c>
      <c r="E12" s="85">
        <f>SUM(E16:E76)</f>
        <v>999999.99999999988</v>
      </c>
      <c r="F12" s="85">
        <f>SUM(F16:F76)</f>
        <v>216583.65730482101</v>
      </c>
      <c r="G12" s="110">
        <f>prin1-E12</f>
        <v>0</v>
      </c>
      <c r="H12" s="86">
        <f>SUM(H16:H76)</f>
        <v>999999.99999999988</v>
      </c>
      <c r="I12" s="86">
        <f>SUM(I16:I76)</f>
        <v>216583.65730482098</v>
      </c>
      <c r="J12" s="86">
        <f>prin1-H12</f>
        <v>0</v>
      </c>
    </row>
    <row r="13" spans="1:10" ht="15.75">
      <c r="A13" s="54"/>
      <c r="B13" s="55"/>
      <c r="C13" s="52"/>
      <c r="D13" s="56"/>
      <c r="E13" s="56"/>
      <c r="F13" s="56"/>
      <c r="G13" s="111"/>
      <c r="H13" s="53"/>
      <c r="I13" s="53"/>
      <c r="J13" s="53"/>
    </row>
    <row r="14" spans="1:10" s="91" customFormat="1">
      <c r="A14" s="88"/>
      <c r="B14" s="69" t="s">
        <v>70</v>
      </c>
      <c r="C14" s="69" t="s">
        <v>71</v>
      </c>
      <c r="D14" s="69" t="s">
        <v>72</v>
      </c>
      <c r="E14" s="70"/>
      <c r="F14" s="71"/>
      <c r="G14" s="112" t="s">
        <v>73</v>
      </c>
      <c r="H14" s="89" t="s">
        <v>74</v>
      </c>
      <c r="I14" s="89"/>
      <c r="J14" s="90" t="s">
        <v>73</v>
      </c>
    </row>
    <row r="15" spans="1:10" ht="15.75">
      <c r="A15" s="47"/>
      <c r="B15" s="72">
        <v>15</v>
      </c>
      <c r="C15" s="73"/>
      <c r="D15" s="74"/>
      <c r="E15" s="69" t="s">
        <v>75</v>
      </c>
      <c r="F15" s="75" t="s">
        <v>76</v>
      </c>
      <c r="G15" s="113"/>
      <c r="H15" s="51" t="s">
        <v>75</v>
      </c>
      <c r="I15" s="57" t="s">
        <v>76</v>
      </c>
      <c r="J15" s="58"/>
    </row>
    <row r="16" spans="1:10" ht="15.75">
      <c r="A16" s="59"/>
      <c r="B16" s="76">
        <f>DATE(YEAR(E3),MONTH(E3)+VLOOKUP($E$8,参数范围!$K$3:$M$7,3,0),DAY(B15))</f>
        <v>41167</v>
      </c>
      <c r="C16" s="77">
        <v>1</v>
      </c>
      <c r="D16" s="78">
        <f>IF(C16&lt;&gt;"",报价计算表!$G$8,"")</f>
        <v>20276.394288413681</v>
      </c>
      <c r="E16" s="79">
        <f t="shared" ref="E16:E47" si="0">IF(C16&lt;&gt;$B$8,H16,D16-F16)</f>
        <v>13609.727621747013</v>
      </c>
      <c r="F16" s="79">
        <f t="shared" ref="F16:F76" si="1">IF(C16&lt;&gt;$B$8,I16,I16-J16)</f>
        <v>6666.666666666667</v>
      </c>
      <c r="G16" s="80">
        <f t="shared" ref="G16:G76" si="2">IF(C16&lt;&gt;$B$8,J16,0)</f>
        <v>986390.27237825294</v>
      </c>
      <c r="H16" s="60">
        <f>IF(C16&lt;&gt;"",D16-I16,"")</f>
        <v>13609.727621747013</v>
      </c>
      <c r="I16" s="60">
        <f>IF(C17&lt;&gt;"",报价计算表!$E$4*报价计算表!$D$6/VLOOKUP(报价计算表!$D$8,参数范围!$K$3:$L$10,2,0),"")</f>
        <v>6666.666666666667</v>
      </c>
      <c r="J16" s="60">
        <f>IF(C16&lt;&gt;"",B$6-H16,"")</f>
        <v>986390.27237825294</v>
      </c>
    </row>
    <row r="17" spans="1:10" ht="15.75">
      <c r="A17" s="59"/>
      <c r="B17" s="81">
        <f>IF(C17&lt;&gt;"",IF(C17&lt;&gt;$B$8,DATE(YEAR(B16),MONTH(B16)+VLOOKUP($E$8,参数范围!$K$3:$M$7,3,0),DAY(B16)),DATE(YEAR(B16),MONTH(B16)++VLOOKUP($E$8,参数范围!$K$3:$M$7,3,0),DAY($E$3))),"")</f>
        <v>41197</v>
      </c>
      <c r="C17" s="82">
        <f t="shared" ref="C17:C80" si="3">IF(C16&lt;$B$8,C16+1,"")</f>
        <v>2</v>
      </c>
      <c r="D17" s="78">
        <f>IF(C17&lt;&gt;"",报价计算表!$G$8,"")</f>
        <v>20276.394288413681</v>
      </c>
      <c r="E17" s="79">
        <f t="shared" si="0"/>
        <v>13700.459139225328</v>
      </c>
      <c r="F17" s="79">
        <f t="shared" si="1"/>
        <v>6575.9351491883535</v>
      </c>
      <c r="G17" s="80">
        <f t="shared" si="2"/>
        <v>972689.81323902763</v>
      </c>
      <c r="H17" s="60">
        <f t="shared" ref="H17:H76" si="4">IF(C17&lt;&gt;"",D17-I17,"")</f>
        <v>13700.459139225328</v>
      </c>
      <c r="I17" s="60">
        <f>IF(C17&lt;&gt;"",(报价计算表!$E$4-SUM(还款计划表!$H$16:H16))*报价计算表!$D$6/VLOOKUP(报价计算表!$D$8,参数范围!$K$3:$L$10,2,0),"")</f>
        <v>6575.9351491883535</v>
      </c>
      <c r="J17" s="60">
        <f t="shared" ref="J17:J76" si="5">IF(C17&lt;&gt;"",J16-H17,"")</f>
        <v>972689.81323902763</v>
      </c>
    </row>
    <row r="18" spans="1:10" ht="15.75">
      <c r="A18" s="59"/>
      <c r="B18" s="81">
        <f>IF(C18&lt;&gt;"",IF(C18&lt;&gt;$B$8,DATE(YEAR(B17),MONTH(B17)+VLOOKUP($E$8,参数范围!$K$3:$M$7,3,0),DAY(B17)),DATE(YEAR(B17),MONTH(B17)++VLOOKUP($E$8,参数范围!$K$3:$M$7,3,0),DAY($E$3))),"")</f>
        <v>41228</v>
      </c>
      <c r="C18" s="77">
        <f t="shared" si="3"/>
        <v>3</v>
      </c>
      <c r="D18" s="78">
        <f>IF(C18&lt;&gt;"",报价计算表!$G$8,"")</f>
        <v>20276.394288413681</v>
      </c>
      <c r="E18" s="79">
        <f t="shared" si="0"/>
        <v>13791.795533486831</v>
      </c>
      <c r="F18" s="79">
        <f t="shared" si="1"/>
        <v>6484.5987549268511</v>
      </c>
      <c r="G18" s="80">
        <f t="shared" si="2"/>
        <v>958898.01770554075</v>
      </c>
      <c r="H18" s="60">
        <f t="shared" si="4"/>
        <v>13791.795533486831</v>
      </c>
      <c r="I18" s="60">
        <f>IF(C18&lt;&gt;"",(报价计算表!$E$4-SUM(还款计划表!$H$16:H17))*报价计算表!$D$6/VLOOKUP(报价计算表!$D$8,参数范围!$K$3:$L$10,2,0),"")</f>
        <v>6484.5987549268511</v>
      </c>
      <c r="J18" s="60">
        <f t="shared" si="5"/>
        <v>958898.01770554075</v>
      </c>
    </row>
    <row r="19" spans="1:10" ht="15.75">
      <c r="A19" s="59"/>
      <c r="B19" s="81">
        <f>IF(C19&lt;&gt;"",IF(C19&lt;&gt;$B$8,DATE(YEAR(B18),MONTH(B18)+VLOOKUP($E$8,参数范围!$K$3:$M$7,3,0),DAY(B18)),DATE(YEAR(B18),MONTH(B18)++VLOOKUP($E$8,参数范围!$K$3:$M$7,3,0),DAY($E$3))),"")</f>
        <v>41258</v>
      </c>
      <c r="C19" s="77">
        <f t="shared" si="3"/>
        <v>4</v>
      </c>
      <c r="D19" s="78">
        <f>IF(C19&lt;&gt;"",报价计算表!$G$8,"")</f>
        <v>20276.394288413681</v>
      </c>
      <c r="E19" s="79">
        <f t="shared" si="0"/>
        <v>13883.74083704341</v>
      </c>
      <c r="F19" s="79">
        <f t="shared" si="1"/>
        <v>6392.6534513702727</v>
      </c>
      <c r="G19" s="80">
        <f t="shared" si="2"/>
        <v>945014.27686849737</v>
      </c>
      <c r="H19" s="60">
        <f t="shared" si="4"/>
        <v>13883.74083704341</v>
      </c>
      <c r="I19" s="60">
        <f>IF(C19&lt;&gt;"",(报价计算表!$E$4-SUM(还款计划表!$H$16:H18))*报价计算表!$D$6/VLOOKUP(报价计算表!$D$8,参数范围!$K$3:$L$10,2,0),"")</f>
        <v>6392.6534513702727</v>
      </c>
      <c r="J19" s="60">
        <f t="shared" si="5"/>
        <v>945014.27686849737</v>
      </c>
    </row>
    <row r="20" spans="1:10" ht="15.75">
      <c r="A20" s="59"/>
      <c r="B20" s="81">
        <f>IF(C20&lt;&gt;"",IF(C20&lt;&gt;$B$8,DATE(YEAR(B19),MONTH(B19)+VLOOKUP($E$8,参数范围!$K$3:$M$7,3,0),DAY(B19)),DATE(YEAR(B19),MONTH(B19)++VLOOKUP($E$8,参数范围!$K$3:$M$7,3,0),DAY($E$3))),"")</f>
        <v>41289</v>
      </c>
      <c r="C20" s="77">
        <f t="shared" si="3"/>
        <v>5</v>
      </c>
      <c r="D20" s="78">
        <f>IF(C20&lt;&gt;"",报价计算表!$G$8,"")</f>
        <v>20276.394288413681</v>
      </c>
      <c r="E20" s="79">
        <f t="shared" si="0"/>
        <v>13976.299109290365</v>
      </c>
      <c r="F20" s="79">
        <f t="shared" si="1"/>
        <v>6300.0951791233165</v>
      </c>
      <c r="G20" s="80">
        <f t="shared" si="2"/>
        <v>931037.97775920702</v>
      </c>
      <c r="H20" s="60">
        <f t="shared" si="4"/>
        <v>13976.299109290365</v>
      </c>
      <c r="I20" s="60">
        <f>IF(C20&lt;&gt;"",(报价计算表!$E$4-SUM(还款计划表!$H$16:H19))*报价计算表!$D$6/VLOOKUP(报价计算表!$D$8,参数范围!$K$3:$L$10,2,0),"")</f>
        <v>6300.0951791233165</v>
      </c>
      <c r="J20" s="60">
        <f t="shared" si="5"/>
        <v>931037.97775920702</v>
      </c>
    </row>
    <row r="21" spans="1:10" ht="15.75">
      <c r="A21" s="59"/>
      <c r="B21" s="81">
        <f>IF(C21&lt;&gt;"",IF(C21&lt;&gt;$B$8,DATE(YEAR(B20),MONTH(B20)+VLOOKUP($E$8,参数范围!$K$3:$M$7,3,0),DAY(B20)),DATE(YEAR(B20),MONTH(B20)++VLOOKUP($E$8,参数范围!$K$3:$M$7,3,0),DAY($E$3))),"")</f>
        <v>41320</v>
      </c>
      <c r="C21" s="77">
        <f t="shared" si="3"/>
        <v>6</v>
      </c>
      <c r="D21" s="78">
        <f>IF(C21&lt;&gt;"",报价计算表!$G$8,"")</f>
        <v>20276.394288413681</v>
      </c>
      <c r="E21" s="79">
        <f t="shared" si="0"/>
        <v>14069.474436685636</v>
      </c>
      <c r="F21" s="79">
        <f t="shared" si="1"/>
        <v>6206.9198517280465</v>
      </c>
      <c r="G21" s="80">
        <f t="shared" si="2"/>
        <v>916968.50332252134</v>
      </c>
      <c r="H21" s="60">
        <f t="shared" si="4"/>
        <v>14069.474436685636</v>
      </c>
      <c r="I21" s="60">
        <f>IF(C21&lt;&gt;"",(报价计算表!$E$4-SUM(还款计划表!$H$16:H20))*报价计算表!$D$6/VLOOKUP(报价计算表!$D$8,参数范围!$K$3:$L$10,2,0),"")</f>
        <v>6206.9198517280465</v>
      </c>
      <c r="J21" s="60">
        <f t="shared" si="5"/>
        <v>916968.50332252134</v>
      </c>
    </row>
    <row r="22" spans="1:10" ht="15.75">
      <c r="A22" s="59"/>
      <c r="B22" s="81">
        <f>IF(C22&lt;&gt;"",IF(C22&lt;&gt;$B$8,DATE(YEAR(B21),MONTH(B21)+VLOOKUP($E$8,参数范围!$K$3:$M$7,3,0),DAY(B21)),DATE(YEAR(B21),MONTH(B21)++VLOOKUP($E$8,参数范围!$K$3:$M$7,3,0),DAY($E$3))),"")</f>
        <v>41348</v>
      </c>
      <c r="C22" s="77">
        <f t="shared" si="3"/>
        <v>7</v>
      </c>
      <c r="D22" s="78">
        <f>IF(C22&lt;&gt;"",报价计算表!$G$8,"")</f>
        <v>20276.394288413681</v>
      </c>
      <c r="E22" s="79">
        <f t="shared" si="0"/>
        <v>14163.270932930205</v>
      </c>
      <c r="F22" s="79">
        <f t="shared" si="1"/>
        <v>6113.1233554834762</v>
      </c>
      <c r="G22" s="80">
        <f t="shared" si="2"/>
        <v>902805.23238959117</v>
      </c>
      <c r="H22" s="60">
        <f t="shared" si="4"/>
        <v>14163.270932930205</v>
      </c>
      <c r="I22" s="60">
        <f>IF(C22&lt;&gt;"",(报价计算表!$E$4-SUM(还款计划表!$H$16:H21))*报价计算表!$D$6/VLOOKUP(报价计算表!$D$8,参数范围!$K$3:$L$10,2,0),"")</f>
        <v>6113.1233554834762</v>
      </c>
      <c r="J22" s="60">
        <f t="shared" si="5"/>
        <v>902805.23238959117</v>
      </c>
    </row>
    <row r="23" spans="1:10" ht="15.75">
      <c r="A23" s="59"/>
      <c r="B23" s="81">
        <f>IF(C23&lt;&gt;"",IF(C23&lt;&gt;$B$8,DATE(YEAR(B22),MONTH(B22)+VLOOKUP($E$8,参数范围!$K$3:$M$7,3,0),DAY(B22)),DATE(YEAR(B22),MONTH(B22)++VLOOKUP($E$8,参数范围!$K$3:$M$7,3,0),DAY($E$3))),"")</f>
        <v>41379</v>
      </c>
      <c r="C23" s="77">
        <f t="shared" si="3"/>
        <v>8</v>
      </c>
      <c r="D23" s="78">
        <f>IF(C23&lt;&gt;"",报价计算表!$G$8,"")</f>
        <v>20276.394288413681</v>
      </c>
      <c r="E23" s="79">
        <f t="shared" si="0"/>
        <v>14257.692739149741</v>
      </c>
      <c r="F23" s="79">
        <f t="shared" si="1"/>
        <v>6018.7015492639412</v>
      </c>
      <c r="G23" s="80">
        <f t="shared" si="2"/>
        <v>888547.53965044138</v>
      </c>
      <c r="H23" s="60">
        <f t="shared" si="4"/>
        <v>14257.692739149741</v>
      </c>
      <c r="I23" s="60">
        <f>IF(C23&lt;&gt;"",(报价计算表!$E$4-SUM(还款计划表!$H$16:H22))*报价计算表!$D$6/VLOOKUP(报价计算表!$D$8,参数范围!$K$3:$L$10,2,0),"")</f>
        <v>6018.7015492639412</v>
      </c>
      <c r="J23" s="60">
        <f t="shared" si="5"/>
        <v>888547.53965044138</v>
      </c>
    </row>
    <row r="24" spans="1:10" ht="15.75">
      <c r="A24" s="59"/>
      <c r="B24" s="81">
        <f>IF(C24&lt;&gt;"",IF(C24&lt;&gt;$B$8,DATE(YEAR(B23),MONTH(B23)+VLOOKUP($E$8,参数范围!$K$3:$M$7,3,0),DAY(B23)),DATE(YEAR(B23),MONTH(B23)++VLOOKUP($E$8,参数范围!$K$3:$M$7,3,0),DAY($E$3))),"")</f>
        <v>41409</v>
      </c>
      <c r="C24" s="77">
        <f t="shared" si="3"/>
        <v>9</v>
      </c>
      <c r="D24" s="78">
        <f>IF(C24&lt;&gt;"",报价计算表!$G$8,"")</f>
        <v>20276.394288413681</v>
      </c>
      <c r="E24" s="79">
        <f t="shared" si="0"/>
        <v>14352.744024077405</v>
      </c>
      <c r="F24" s="79">
        <f t="shared" si="1"/>
        <v>5923.6502643362765</v>
      </c>
      <c r="G24" s="80">
        <f t="shared" si="2"/>
        <v>874194.79562636395</v>
      </c>
      <c r="H24" s="60">
        <f t="shared" si="4"/>
        <v>14352.744024077405</v>
      </c>
      <c r="I24" s="60">
        <f>IF(C24&lt;&gt;"",(报价计算表!$E$4-SUM(还款计划表!$H$16:H23))*报价计算表!$D$6/VLOOKUP(报价计算表!$D$8,参数范围!$K$3:$L$10,2,0),"")</f>
        <v>5923.6502643362765</v>
      </c>
      <c r="J24" s="60">
        <f t="shared" si="5"/>
        <v>874194.79562636395</v>
      </c>
    </row>
    <row r="25" spans="1:10" ht="15.75">
      <c r="A25" s="59"/>
      <c r="B25" s="81">
        <f>IF(C25&lt;&gt;"",IF(C25&lt;&gt;$B$8,DATE(YEAR(B24),MONTH(B24)+VLOOKUP($E$8,参数范围!$K$3:$M$7,3,0),DAY(B24)),DATE(YEAR(B24),MONTH(B24)++VLOOKUP($E$8,参数范围!$K$3:$M$7,3,0),DAY($E$3))),"")</f>
        <v>41440</v>
      </c>
      <c r="C25" s="77">
        <f t="shared" si="3"/>
        <v>10</v>
      </c>
      <c r="D25" s="78">
        <f>IF(C25&lt;&gt;"",报价计算表!$G$8,"")</f>
        <v>20276.394288413681</v>
      </c>
      <c r="E25" s="79">
        <f t="shared" si="0"/>
        <v>14448.428984237922</v>
      </c>
      <c r="F25" s="79">
        <f t="shared" si="1"/>
        <v>5827.9653041757601</v>
      </c>
      <c r="G25" s="80">
        <f t="shared" si="2"/>
        <v>859746.366642126</v>
      </c>
      <c r="H25" s="60">
        <f t="shared" si="4"/>
        <v>14448.428984237922</v>
      </c>
      <c r="I25" s="60">
        <f>IF(C25&lt;&gt;"",(报价计算表!$E$4-SUM(还款计划表!$H$16:H24))*报价计算表!$D$6/VLOOKUP(报价计算表!$D$8,参数范围!$K$3:$L$10,2,0),"")</f>
        <v>5827.9653041757601</v>
      </c>
      <c r="J25" s="60">
        <f t="shared" si="5"/>
        <v>859746.366642126</v>
      </c>
    </row>
    <row r="26" spans="1:10" ht="15.75">
      <c r="A26" s="59"/>
      <c r="B26" s="81">
        <f>IF(C26&lt;&gt;"",IF(C26&lt;&gt;$B$8,DATE(YEAR(B25),MONTH(B25)+VLOOKUP($E$8,参数范围!$K$3:$M$7,3,0),DAY(B25)),DATE(YEAR(B25),MONTH(B25)++VLOOKUP($E$8,参数范围!$K$3:$M$7,3,0),DAY($E$3))),"")</f>
        <v>41470</v>
      </c>
      <c r="C26" s="77">
        <f t="shared" si="3"/>
        <v>11</v>
      </c>
      <c r="D26" s="78">
        <f>IF(C26&lt;&gt;"",报价计算表!$G$8,"")</f>
        <v>20276.394288413681</v>
      </c>
      <c r="E26" s="79">
        <f t="shared" si="0"/>
        <v>14544.751844132839</v>
      </c>
      <c r="F26" s="79">
        <f t="shared" si="1"/>
        <v>5731.6424442808411</v>
      </c>
      <c r="G26" s="80">
        <f t="shared" si="2"/>
        <v>845201.61479799321</v>
      </c>
      <c r="H26" s="60">
        <f t="shared" si="4"/>
        <v>14544.751844132839</v>
      </c>
      <c r="I26" s="60">
        <f>IF(C26&lt;&gt;"",(报价计算表!$E$4-SUM(还款计划表!$H$16:H25))*报价计算表!$D$6/VLOOKUP(报价计算表!$D$8,参数范围!$K$3:$L$10,2,0),"")</f>
        <v>5731.6424442808411</v>
      </c>
      <c r="J26" s="60">
        <f t="shared" si="5"/>
        <v>845201.61479799321</v>
      </c>
    </row>
    <row r="27" spans="1:10" ht="15.75">
      <c r="A27" s="59"/>
      <c r="B27" s="81">
        <f>IF(C27&lt;&gt;"",IF(C27&lt;&gt;$B$8,DATE(YEAR(B26),MONTH(B26)+VLOOKUP($E$8,参数范围!$K$3:$M$7,3,0),DAY(B26)),DATE(YEAR(B26),MONTH(B26)++VLOOKUP($E$8,参数范围!$K$3:$M$7,3,0),DAY($E$3))),"")</f>
        <v>41501</v>
      </c>
      <c r="C27" s="77">
        <f t="shared" si="3"/>
        <v>12</v>
      </c>
      <c r="D27" s="78">
        <f>IF(C27&lt;&gt;"",报价计算表!$G$8,"")</f>
        <v>20276.394288413681</v>
      </c>
      <c r="E27" s="79">
        <f t="shared" si="0"/>
        <v>14641.716856427058</v>
      </c>
      <c r="F27" s="79">
        <f t="shared" si="1"/>
        <v>5634.6774319866227</v>
      </c>
      <c r="G27" s="80">
        <f t="shared" si="2"/>
        <v>830559.89794156619</v>
      </c>
      <c r="H27" s="60">
        <f t="shared" si="4"/>
        <v>14641.716856427058</v>
      </c>
      <c r="I27" s="60">
        <f>IF(C27&lt;&gt;"",(报价计算表!$E$4-SUM(还款计划表!$H$16:H26))*报价计算表!$D$6/VLOOKUP(报价计算表!$D$8,参数范围!$K$3:$L$10,2,0),"")</f>
        <v>5634.6774319866227</v>
      </c>
      <c r="J27" s="60">
        <f t="shared" si="5"/>
        <v>830559.89794156619</v>
      </c>
    </row>
    <row r="28" spans="1:10" ht="15.75">
      <c r="A28" s="59"/>
      <c r="B28" s="81">
        <f>IF(C28&lt;&gt;"",IF(C28&lt;&gt;$B$8,DATE(YEAR(B27),MONTH(B27)+VLOOKUP($E$8,参数范围!$K$3:$M$7,3,0),DAY(B27)),DATE(YEAR(B27),MONTH(B27)++VLOOKUP($E$8,参数范围!$K$3:$M$7,3,0),DAY($E$3))),"")</f>
        <v>41532</v>
      </c>
      <c r="C28" s="77">
        <f t="shared" si="3"/>
        <v>13</v>
      </c>
      <c r="D28" s="78">
        <f>IF(C28&lt;&gt;"",报价计算表!$G$8,"")</f>
        <v>20276.394288413681</v>
      </c>
      <c r="E28" s="79">
        <f t="shared" si="0"/>
        <v>14739.328302136571</v>
      </c>
      <c r="F28" s="79">
        <f t="shared" si="1"/>
        <v>5537.065986277109</v>
      </c>
      <c r="G28" s="80">
        <f t="shared" si="2"/>
        <v>815820.56963942957</v>
      </c>
      <c r="H28" s="60">
        <f t="shared" si="4"/>
        <v>14739.328302136571</v>
      </c>
      <c r="I28" s="60">
        <f>IF(C28&lt;&gt;"",(报价计算表!$E$4-SUM(还款计划表!$H$16:H27))*报价计算表!$D$6/VLOOKUP(报价计算表!$D$8,参数范围!$K$3:$L$10,2,0),"")</f>
        <v>5537.065986277109</v>
      </c>
      <c r="J28" s="60">
        <f t="shared" si="5"/>
        <v>815820.56963942957</v>
      </c>
    </row>
    <row r="29" spans="1:10" ht="15.75">
      <c r="A29" s="59"/>
      <c r="B29" s="81">
        <f>IF(C29&lt;&gt;"",IF(C29&lt;&gt;$B$8,DATE(YEAR(B28),MONTH(B28)+VLOOKUP($E$8,参数范围!$K$3:$M$7,3,0),DAY(B28)),DATE(YEAR(B28),MONTH(B28)++VLOOKUP($E$8,参数范围!$K$3:$M$7,3,0),DAY($E$3))),"")</f>
        <v>41562</v>
      </c>
      <c r="C29" s="77">
        <f t="shared" si="3"/>
        <v>14</v>
      </c>
      <c r="D29" s="78">
        <f>IF(C29&lt;&gt;"",报价计算表!$G$8,"")</f>
        <v>20276.394288413681</v>
      </c>
      <c r="E29" s="79">
        <f t="shared" si="0"/>
        <v>14837.590490817483</v>
      </c>
      <c r="F29" s="79">
        <f t="shared" si="1"/>
        <v>5438.8037975961979</v>
      </c>
      <c r="G29" s="80">
        <f t="shared" si="2"/>
        <v>800982.97914861212</v>
      </c>
      <c r="H29" s="60">
        <f t="shared" si="4"/>
        <v>14837.590490817483</v>
      </c>
      <c r="I29" s="60">
        <f>IF(C29&lt;&gt;"",(报价计算表!$E$4-SUM(还款计划表!$H$16:H28))*报价计算表!$D$6/VLOOKUP(报价计算表!$D$8,参数范围!$K$3:$L$10,2,0),"")</f>
        <v>5438.8037975961979</v>
      </c>
      <c r="J29" s="60">
        <f t="shared" si="5"/>
        <v>800982.97914861212</v>
      </c>
    </row>
    <row r="30" spans="1:10" ht="15.75">
      <c r="A30" s="59"/>
      <c r="B30" s="81">
        <f>IF(C30&lt;&gt;"",IF(C30&lt;&gt;$B$8,DATE(YEAR(B29),MONTH(B29)+VLOOKUP($E$8,参数范围!$K$3:$M$7,3,0),DAY(B29)),DATE(YEAR(B29),MONTH(B29)++VLOOKUP($E$8,参数范围!$K$3:$M$7,3,0),DAY($E$3))),"")</f>
        <v>41593</v>
      </c>
      <c r="C30" s="77">
        <f t="shared" si="3"/>
        <v>15</v>
      </c>
      <c r="D30" s="78">
        <f>IF(C30&lt;&gt;"",报价计算表!$G$8,"")</f>
        <v>20276.394288413681</v>
      </c>
      <c r="E30" s="79">
        <f t="shared" si="0"/>
        <v>14936.507760756267</v>
      </c>
      <c r="F30" s="79">
        <f t="shared" si="1"/>
        <v>5339.8865276574152</v>
      </c>
      <c r="G30" s="80">
        <f t="shared" si="2"/>
        <v>786046.47138785583</v>
      </c>
      <c r="H30" s="60">
        <f t="shared" si="4"/>
        <v>14936.507760756267</v>
      </c>
      <c r="I30" s="60">
        <f>IF(C30&lt;&gt;"",(报价计算表!$E$4-SUM(还款计划表!$H$16:H29))*报价计算表!$D$6/VLOOKUP(报价计算表!$D$8,参数范围!$K$3:$L$10,2,0),"")</f>
        <v>5339.8865276574152</v>
      </c>
      <c r="J30" s="60">
        <f t="shared" si="5"/>
        <v>786046.47138785583</v>
      </c>
    </row>
    <row r="31" spans="1:10" ht="15.75">
      <c r="A31" s="59"/>
      <c r="B31" s="81">
        <f>IF(C31&lt;&gt;"",IF(C31&lt;&gt;$B$8,DATE(YEAR(B30),MONTH(B30)+VLOOKUP($E$8,参数范围!$K$3:$M$7,3,0),DAY(B30)),DATE(YEAR(B30),MONTH(B30)++VLOOKUP($E$8,参数范围!$K$3:$M$7,3,0),DAY($E$3))),"")</f>
        <v>41623</v>
      </c>
      <c r="C31" s="77">
        <f t="shared" si="3"/>
        <v>16</v>
      </c>
      <c r="D31" s="78">
        <f>IF(C31&lt;&gt;"",报价计算表!$G$8,"")</f>
        <v>20276.394288413681</v>
      </c>
      <c r="E31" s="79">
        <f t="shared" si="0"/>
        <v>15036.084479161309</v>
      </c>
      <c r="F31" s="79">
        <f t="shared" si="1"/>
        <v>5240.3098092523733</v>
      </c>
      <c r="G31" s="80">
        <f t="shared" si="2"/>
        <v>771010.38690869452</v>
      </c>
      <c r="H31" s="60">
        <f t="shared" si="4"/>
        <v>15036.084479161309</v>
      </c>
      <c r="I31" s="60">
        <f>IF(C31&lt;&gt;"",(报价计算表!$E$4-SUM(还款计划表!$H$16:H30))*报价计算表!$D$6/VLOOKUP(报价计算表!$D$8,参数范围!$K$3:$L$10,2,0),"")</f>
        <v>5240.3098092523733</v>
      </c>
      <c r="J31" s="60">
        <f t="shared" si="5"/>
        <v>771010.38690869452</v>
      </c>
    </row>
    <row r="32" spans="1:10" ht="15.75">
      <c r="A32" s="59"/>
      <c r="B32" s="81">
        <f>IF(C32&lt;&gt;"",IF(C32&lt;&gt;$B$8,DATE(YEAR(B31),MONTH(B31)+VLOOKUP($E$8,参数范围!$K$3:$M$7,3,0),DAY(B31)),DATE(YEAR(B31),MONTH(B31)++VLOOKUP($E$8,参数范围!$K$3:$M$7,3,0),DAY($E$3))),"")</f>
        <v>41654</v>
      </c>
      <c r="C32" s="77">
        <f t="shared" si="3"/>
        <v>17</v>
      </c>
      <c r="D32" s="78">
        <f>IF(C32&lt;&gt;"",报价计算表!$G$8,"")</f>
        <v>20276.394288413681</v>
      </c>
      <c r="E32" s="79">
        <f t="shared" si="0"/>
        <v>15136.325042355718</v>
      </c>
      <c r="F32" s="79">
        <f t="shared" si="1"/>
        <v>5140.0692460579639</v>
      </c>
      <c r="G32" s="80">
        <f t="shared" si="2"/>
        <v>755874.06186633883</v>
      </c>
      <c r="H32" s="60">
        <f t="shared" si="4"/>
        <v>15136.325042355718</v>
      </c>
      <c r="I32" s="60">
        <f>IF(C32&lt;&gt;"",(报价计算表!$E$4-SUM(还款计划表!$H$16:H31))*报价计算表!$D$6/VLOOKUP(报价计算表!$D$8,参数范围!$K$3:$L$10,2,0),"")</f>
        <v>5140.0692460579639</v>
      </c>
      <c r="J32" s="60">
        <f t="shared" si="5"/>
        <v>755874.06186633883</v>
      </c>
    </row>
    <row r="33" spans="1:10" ht="15.75">
      <c r="A33" s="59"/>
      <c r="B33" s="81">
        <f>IF(C33&lt;&gt;"",IF(C33&lt;&gt;$B$8,DATE(YEAR(B32),MONTH(B32)+VLOOKUP($E$8,参数范围!$K$3:$M$7,3,0),DAY(B32)),DATE(YEAR(B32),MONTH(B32)++VLOOKUP($E$8,参数范围!$K$3:$M$7,3,0),DAY($E$3))),"")</f>
        <v>41685</v>
      </c>
      <c r="C33" s="77">
        <f t="shared" si="3"/>
        <v>18</v>
      </c>
      <c r="D33" s="78">
        <f>IF(C33&lt;&gt;"",报价计算表!$G$8,"")</f>
        <v>20276.394288413681</v>
      </c>
      <c r="E33" s="79">
        <f t="shared" si="0"/>
        <v>15237.233875971422</v>
      </c>
      <c r="F33" s="79">
        <f t="shared" si="1"/>
        <v>5039.1604124422602</v>
      </c>
      <c r="G33" s="80">
        <f t="shared" si="2"/>
        <v>740636.82799036743</v>
      </c>
      <c r="H33" s="60">
        <f t="shared" si="4"/>
        <v>15237.233875971422</v>
      </c>
      <c r="I33" s="60">
        <f>IF(C33&lt;&gt;"",(报价计算表!$E$4-SUM(还款计划表!$H$16:H32))*报价计算表!$D$6/VLOOKUP(报价计算表!$D$8,参数范围!$K$3:$L$10,2,0),"")</f>
        <v>5039.1604124422602</v>
      </c>
      <c r="J33" s="60">
        <f t="shared" si="5"/>
        <v>740636.82799036743</v>
      </c>
    </row>
    <row r="34" spans="1:10" ht="15.75">
      <c r="A34" s="59"/>
      <c r="B34" s="81">
        <f>IF(C34&lt;&gt;"",IF(C34&lt;&gt;$B$8,DATE(YEAR(B33),MONTH(B33)+VLOOKUP($E$8,参数范围!$K$3:$M$7,3,0),DAY(B33)),DATE(YEAR(B33),MONTH(B33)++VLOOKUP($E$8,参数范围!$K$3:$M$7,3,0),DAY($E$3))),"")</f>
        <v>41713</v>
      </c>
      <c r="C34" s="77">
        <f t="shared" si="3"/>
        <v>19</v>
      </c>
      <c r="D34" s="78">
        <f>IF(C34&lt;&gt;"",报价计算表!$G$8,"")</f>
        <v>20276.394288413681</v>
      </c>
      <c r="E34" s="79">
        <f t="shared" si="0"/>
        <v>15338.815435144563</v>
      </c>
      <c r="F34" s="79">
        <f t="shared" si="1"/>
        <v>4937.5788532691176</v>
      </c>
      <c r="G34" s="80">
        <f t="shared" si="2"/>
        <v>725298.01255522284</v>
      </c>
      <c r="H34" s="60">
        <f t="shared" si="4"/>
        <v>15338.815435144563</v>
      </c>
      <c r="I34" s="60">
        <f>IF(C34&lt;&gt;"",(报价计算表!$E$4-SUM(还款计划表!$H$16:H33))*报价计算表!$D$6/VLOOKUP(报价计算表!$D$8,参数范围!$K$3:$L$10,2,0),"")</f>
        <v>4937.5788532691176</v>
      </c>
      <c r="J34" s="60">
        <f t="shared" si="5"/>
        <v>725298.01255522284</v>
      </c>
    </row>
    <row r="35" spans="1:10" ht="15.75">
      <c r="A35" s="59"/>
      <c r="B35" s="81">
        <f>IF(C35&lt;&gt;"",IF(C35&lt;&gt;$B$8,DATE(YEAR(B34),MONTH(B34)+VLOOKUP($E$8,参数范围!$K$3:$M$7,3,0),DAY(B34)),DATE(YEAR(B34),MONTH(B34)++VLOOKUP($E$8,参数范围!$K$3:$M$7,3,0),DAY($E$3))),"")</f>
        <v>41744</v>
      </c>
      <c r="C35" s="77">
        <f t="shared" si="3"/>
        <v>20</v>
      </c>
      <c r="D35" s="78">
        <f>IF(C35&lt;&gt;"",报价计算表!$G$8,"")</f>
        <v>20276.394288413681</v>
      </c>
      <c r="E35" s="79">
        <f t="shared" si="0"/>
        <v>15441.074204712195</v>
      </c>
      <c r="F35" s="79">
        <f t="shared" si="1"/>
        <v>4835.3200837014865</v>
      </c>
      <c r="G35" s="80">
        <f t="shared" si="2"/>
        <v>709856.93835051067</v>
      </c>
      <c r="H35" s="60">
        <f t="shared" si="4"/>
        <v>15441.074204712195</v>
      </c>
      <c r="I35" s="60">
        <f>IF(C35&lt;&gt;"",(报价计算表!$E$4-SUM(还款计划表!$H$16:H34))*报价计算表!$D$6/VLOOKUP(报价计算表!$D$8,参数范围!$K$3:$L$10,2,0),"")</f>
        <v>4835.3200837014865</v>
      </c>
      <c r="J35" s="60">
        <f t="shared" si="5"/>
        <v>709856.93835051067</v>
      </c>
    </row>
    <row r="36" spans="1:10" ht="15.75">
      <c r="A36" s="59"/>
      <c r="B36" s="81">
        <f>IF(C36&lt;&gt;"",IF(C36&lt;&gt;$B$8,DATE(YEAR(B35),MONTH(B35)+VLOOKUP($E$8,参数范围!$K$3:$M$7,3,0),DAY(B35)),DATE(YEAR(B35),MONTH(B35)++VLOOKUP($E$8,参数范围!$K$3:$M$7,3,0),DAY($E$3))),"")</f>
        <v>41774</v>
      </c>
      <c r="C36" s="77">
        <f t="shared" si="3"/>
        <v>21</v>
      </c>
      <c r="D36" s="78">
        <f>IF(C36&lt;&gt;"",报价计算表!$G$8,"")</f>
        <v>20276.394288413681</v>
      </c>
      <c r="E36" s="79">
        <f t="shared" si="0"/>
        <v>15544.014699410276</v>
      </c>
      <c r="F36" s="79">
        <f t="shared" si="1"/>
        <v>4732.3795890034053</v>
      </c>
      <c r="G36" s="80">
        <f t="shared" si="2"/>
        <v>694312.92365110037</v>
      </c>
      <c r="H36" s="60">
        <f t="shared" si="4"/>
        <v>15544.014699410276</v>
      </c>
      <c r="I36" s="60">
        <f>IF(C36&lt;&gt;"",(报价计算表!$E$4-SUM(还款计划表!$H$16:H35))*报价计算表!$D$6/VLOOKUP(报价计算表!$D$8,参数范围!$K$3:$L$10,2,0),"")</f>
        <v>4732.3795890034053</v>
      </c>
      <c r="J36" s="60">
        <f t="shared" si="5"/>
        <v>694312.92365110037</v>
      </c>
    </row>
    <row r="37" spans="1:10" ht="15.75">
      <c r="A37" s="59"/>
      <c r="B37" s="81">
        <f>IF(C37&lt;&gt;"",IF(C37&lt;&gt;$B$8,DATE(YEAR(B36),MONTH(B36)+VLOOKUP($E$8,参数范围!$K$3:$M$7,3,0),DAY(B36)),DATE(YEAR(B36),MONTH(B36)++VLOOKUP($E$8,参数范围!$K$3:$M$7,3,0),DAY($E$3))),"")</f>
        <v>41805</v>
      </c>
      <c r="C37" s="77">
        <f t="shared" si="3"/>
        <v>22</v>
      </c>
      <c r="D37" s="78">
        <f>IF(C37&lt;&gt;"",报价计算表!$G$8,"")</f>
        <v>20276.394288413681</v>
      </c>
      <c r="E37" s="79">
        <f t="shared" si="0"/>
        <v>15647.641464073011</v>
      </c>
      <c r="F37" s="79">
        <f t="shared" si="1"/>
        <v>4628.7528243406696</v>
      </c>
      <c r="G37" s="80">
        <f t="shared" si="2"/>
        <v>678665.28218702739</v>
      </c>
      <c r="H37" s="60">
        <f t="shared" si="4"/>
        <v>15647.641464073011</v>
      </c>
      <c r="I37" s="60">
        <f>IF(C37&lt;&gt;"",(报价计算表!$E$4-SUM(还款计划表!$H$16:H36))*报价计算表!$D$6/VLOOKUP(报价计算表!$D$8,参数范围!$K$3:$L$10,2,0),"")</f>
        <v>4628.7528243406696</v>
      </c>
      <c r="J37" s="60">
        <f t="shared" si="5"/>
        <v>678665.28218702739</v>
      </c>
    </row>
    <row r="38" spans="1:10" ht="15.75">
      <c r="A38" s="59"/>
      <c r="B38" s="81">
        <f>IF(C38&lt;&gt;"",IF(C38&lt;&gt;$B$8,DATE(YEAR(B37),MONTH(B37)+VLOOKUP($E$8,参数范围!$K$3:$M$7,3,0),DAY(B37)),DATE(YEAR(B37),MONTH(B37)++VLOOKUP($E$8,参数范围!$K$3:$M$7,3,0),DAY($E$3))),"")</f>
        <v>41835</v>
      </c>
      <c r="C38" s="77">
        <f t="shared" si="3"/>
        <v>23</v>
      </c>
      <c r="D38" s="78">
        <f>IF(C38&lt;&gt;"",报价计算表!$G$8,"")</f>
        <v>20276.394288413681</v>
      </c>
      <c r="E38" s="79">
        <f t="shared" si="0"/>
        <v>15751.959073833499</v>
      </c>
      <c r="F38" s="79">
        <f t="shared" si="1"/>
        <v>4524.4352145801831</v>
      </c>
      <c r="G38" s="80">
        <f t="shared" si="2"/>
        <v>662913.32311319385</v>
      </c>
      <c r="H38" s="60">
        <f t="shared" si="4"/>
        <v>15751.959073833499</v>
      </c>
      <c r="I38" s="60">
        <f>IF(C38&lt;&gt;"",(报价计算表!$E$4-SUM(还款计划表!$H$16:H37))*报价计算表!$D$6/VLOOKUP(报价计算表!$D$8,参数范围!$K$3:$L$10,2,0),"")</f>
        <v>4524.4352145801831</v>
      </c>
      <c r="J38" s="60">
        <f t="shared" si="5"/>
        <v>662913.32311319385</v>
      </c>
    </row>
    <row r="39" spans="1:10" ht="15.75">
      <c r="A39" s="59"/>
      <c r="B39" s="81">
        <f>IF(C39&lt;&gt;"",IF(C39&lt;&gt;$B$8,DATE(YEAR(B38),MONTH(B38)+VLOOKUP($E$8,参数范围!$K$3:$M$7,3,0),DAY(B38)),DATE(YEAR(B38),MONTH(B38)++VLOOKUP($E$8,参数范围!$K$3:$M$7,3,0),DAY($E$3))),"")</f>
        <v>41866</v>
      </c>
      <c r="C39" s="77">
        <f t="shared" si="3"/>
        <v>24</v>
      </c>
      <c r="D39" s="78">
        <f>IF(C39&lt;&gt;"",报价计算表!$G$8,"")</f>
        <v>20276.394288413681</v>
      </c>
      <c r="E39" s="79">
        <f t="shared" si="0"/>
        <v>15856.972134325722</v>
      </c>
      <c r="F39" s="79">
        <f t="shared" si="1"/>
        <v>4419.4221540879598</v>
      </c>
      <c r="G39" s="80">
        <f t="shared" si="2"/>
        <v>647056.35097886808</v>
      </c>
      <c r="H39" s="60">
        <f t="shared" si="4"/>
        <v>15856.972134325722</v>
      </c>
      <c r="I39" s="60">
        <f>IF(C39&lt;&gt;"",(报价计算表!$E$4-SUM(还款计划表!$H$16:H38))*报价计算表!$D$6/VLOOKUP(报价计算表!$D$8,参数范围!$K$3:$L$10,2,0),"")</f>
        <v>4419.4221540879598</v>
      </c>
      <c r="J39" s="60">
        <f t="shared" si="5"/>
        <v>647056.35097886808</v>
      </c>
    </row>
    <row r="40" spans="1:10" ht="15.75">
      <c r="A40" s="59"/>
      <c r="B40" s="81">
        <f>IF(C40&lt;&gt;"",IF(C40&lt;&gt;$B$8,DATE(YEAR(B39),MONTH(B39)+VLOOKUP($E$8,参数范围!$K$3:$M$7,3,0),DAY(B39)),DATE(YEAR(B39),MONTH(B39)++VLOOKUP($E$8,参数范围!$K$3:$M$7,3,0),DAY($E$3))),"")</f>
        <v>41897</v>
      </c>
      <c r="C40" s="77">
        <f t="shared" si="3"/>
        <v>25</v>
      </c>
      <c r="D40" s="78">
        <f>IF(C40&lt;&gt;"",报价计算表!$G$8,"")</f>
        <v>20276.394288413681</v>
      </c>
      <c r="E40" s="79">
        <f t="shared" si="0"/>
        <v>15962.685281887894</v>
      </c>
      <c r="F40" s="79">
        <f t="shared" si="1"/>
        <v>4313.709006525788</v>
      </c>
      <c r="G40" s="80">
        <f t="shared" si="2"/>
        <v>631093.6656969802</v>
      </c>
      <c r="H40" s="60">
        <f t="shared" si="4"/>
        <v>15962.685281887894</v>
      </c>
      <c r="I40" s="60">
        <f>IF(C40&lt;&gt;"",(报价计算表!$E$4-SUM(还款计划表!$H$16:H39))*报价计算表!$D$6/VLOOKUP(报价计算表!$D$8,参数范围!$K$3:$L$10,2,0),"")</f>
        <v>4313.709006525788</v>
      </c>
      <c r="J40" s="60">
        <f t="shared" si="5"/>
        <v>631093.6656969802</v>
      </c>
    </row>
    <row r="41" spans="1:10" ht="15.75">
      <c r="A41" s="59"/>
      <c r="B41" s="81">
        <f>IF(C41&lt;&gt;"",IF(C41&lt;&gt;$B$8,DATE(YEAR(B40),MONTH(B40)+VLOOKUP($E$8,参数范围!$K$3:$M$7,3,0),DAY(B40)),DATE(YEAR(B40),MONTH(B40)++VLOOKUP($E$8,参数范围!$K$3:$M$7,3,0),DAY($E$3))),"")</f>
        <v>41927</v>
      </c>
      <c r="C41" s="77">
        <f t="shared" si="3"/>
        <v>26</v>
      </c>
      <c r="D41" s="78">
        <f>IF(C41&lt;&gt;"",报价计算表!$G$8,"")</f>
        <v>20276.394288413681</v>
      </c>
      <c r="E41" s="79">
        <f t="shared" si="0"/>
        <v>16069.103183767147</v>
      </c>
      <c r="F41" s="79">
        <f t="shared" si="1"/>
        <v>4207.2911046465351</v>
      </c>
      <c r="G41" s="80">
        <f t="shared" si="2"/>
        <v>615024.56251321302</v>
      </c>
      <c r="H41" s="60">
        <f t="shared" si="4"/>
        <v>16069.103183767147</v>
      </c>
      <c r="I41" s="60">
        <f>IF(C41&lt;&gt;"",(报价计算表!$E$4-SUM(还款计划表!$H$16:H40))*报价计算表!$D$6/VLOOKUP(报价计算表!$D$8,参数范围!$K$3:$L$10,2,0),"")</f>
        <v>4207.2911046465351</v>
      </c>
      <c r="J41" s="60">
        <f t="shared" si="5"/>
        <v>615024.56251321302</v>
      </c>
    </row>
    <row r="42" spans="1:10" ht="15.75">
      <c r="A42" s="59"/>
      <c r="B42" s="81">
        <f>IF(C42&lt;&gt;"",IF(C42&lt;&gt;$B$8,DATE(YEAR(B41),MONTH(B41)+VLOOKUP($E$8,参数范围!$K$3:$M$7,3,0),DAY(B41)),DATE(YEAR(B41),MONTH(B41)++VLOOKUP($E$8,参数范围!$K$3:$M$7,3,0),DAY($E$3))),"")</f>
        <v>41958</v>
      </c>
      <c r="C42" s="77">
        <f t="shared" si="3"/>
        <v>27</v>
      </c>
      <c r="D42" s="78">
        <f>IF(C42&lt;&gt;"",报价计算表!$G$8,"")</f>
        <v>20276.394288413681</v>
      </c>
      <c r="E42" s="79">
        <f t="shared" si="0"/>
        <v>16176.230538325593</v>
      </c>
      <c r="F42" s="79">
        <f t="shared" si="1"/>
        <v>4100.1637500880879</v>
      </c>
      <c r="G42" s="80">
        <f t="shared" si="2"/>
        <v>598848.33197488741</v>
      </c>
      <c r="H42" s="60">
        <f t="shared" si="4"/>
        <v>16176.230538325593</v>
      </c>
      <c r="I42" s="60">
        <f>IF(C42&lt;&gt;"",(报价计算表!$E$4-SUM(还款计划表!$H$16:H41))*报价计算表!$D$6/VLOOKUP(报价计算表!$D$8,参数范围!$K$3:$L$10,2,0),"")</f>
        <v>4100.1637500880879</v>
      </c>
      <c r="J42" s="60">
        <f t="shared" si="5"/>
        <v>598848.33197488741</v>
      </c>
    </row>
    <row r="43" spans="1:10" ht="15.75">
      <c r="A43" s="59"/>
      <c r="B43" s="81">
        <f>IF(C43&lt;&gt;"",IF(C43&lt;&gt;$B$8,DATE(YEAR(B42),MONTH(B42)+VLOOKUP($E$8,参数范围!$K$3:$M$7,3,0),DAY(B42)),DATE(YEAR(B42),MONTH(B42)++VLOOKUP($E$8,参数范围!$K$3:$M$7,3,0),DAY($E$3))),"")</f>
        <v>41988</v>
      </c>
      <c r="C43" s="77">
        <f t="shared" si="3"/>
        <v>28</v>
      </c>
      <c r="D43" s="78">
        <f>IF(C43&lt;&gt;"",报价计算表!$G$8,"")</f>
        <v>20276.394288413681</v>
      </c>
      <c r="E43" s="79">
        <f t="shared" si="0"/>
        <v>16284.072075247765</v>
      </c>
      <c r="F43" s="79">
        <f t="shared" si="1"/>
        <v>3992.3222131659168</v>
      </c>
      <c r="G43" s="80">
        <f t="shared" si="2"/>
        <v>582564.25989963964</v>
      </c>
      <c r="H43" s="60">
        <f t="shared" si="4"/>
        <v>16284.072075247765</v>
      </c>
      <c r="I43" s="60">
        <f>IF(C43&lt;&gt;"",(报价计算表!$E$4-SUM(还款计划表!$H$16:H42))*报价计算表!$D$6/VLOOKUP(报价计算表!$D$8,参数范围!$K$3:$L$10,2,0),"")</f>
        <v>3992.3222131659168</v>
      </c>
      <c r="J43" s="60">
        <f t="shared" si="5"/>
        <v>582564.25989963964</v>
      </c>
    </row>
    <row r="44" spans="1:10" ht="15.75">
      <c r="A44" s="59"/>
      <c r="B44" s="81">
        <f>IF(C44&lt;&gt;"",IF(C44&lt;&gt;$B$8,DATE(YEAR(B43),MONTH(B43)+VLOOKUP($E$8,参数范围!$K$3:$M$7,3,0),DAY(B43)),DATE(YEAR(B43),MONTH(B43)++VLOOKUP($E$8,参数范围!$K$3:$M$7,3,0),DAY($E$3))),"")</f>
        <v>42019</v>
      </c>
      <c r="C44" s="77">
        <f t="shared" si="3"/>
        <v>29</v>
      </c>
      <c r="D44" s="78">
        <f>IF(C44&lt;&gt;"",报价计算表!$G$8,"")</f>
        <v>20276.394288413681</v>
      </c>
      <c r="E44" s="79">
        <f t="shared" si="0"/>
        <v>16392.632555749416</v>
      </c>
      <c r="F44" s="79">
        <f t="shared" si="1"/>
        <v>3883.7617326642649</v>
      </c>
      <c r="G44" s="80">
        <f t="shared" si="2"/>
        <v>566171.62734389026</v>
      </c>
      <c r="H44" s="60">
        <f t="shared" si="4"/>
        <v>16392.632555749416</v>
      </c>
      <c r="I44" s="60">
        <f>IF(C44&lt;&gt;"",(报价计算表!$E$4-SUM(还款计划表!$H$16:H43))*报价计算表!$D$6/VLOOKUP(报价计算表!$D$8,参数范围!$K$3:$L$10,2,0),"")</f>
        <v>3883.7617326642649</v>
      </c>
      <c r="J44" s="60">
        <f t="shared" si="5"/>
        <v>566171.62734389026</v>
      </c>
    </row>
    <row r="45" spans="1:10" ht="15.75">
      <c r="A45" s="59"/>
      <c r="B45" s="81">
        <f>IF(C45&lt;&gt;"",IF(C45&lt;&gt;$B$8,DATE(YEAR(B44),MONTH(B44)+VLOOKUP($E$8,参数范围!$K$3:$M$7,3,0),DAY(B44)),DATE(YEAR(B44),MONTH(B44)++VLOOKUP($E$8,参数范围!$K$3:$M$7,3,0),DAY($E$3))),"")</f>
        <v>42050</v>
      </c>
      <c r="C45" s="77">
        <f t="shared" si="3"/>
        <v>30</v>
      </c>
      <c r="D45" s="78">
        <f>IF(C45&lt;&gt;"",报价计算表!$G$8,"")</f>
        <v>20276.394288413681</v>
      </c>
      <c r="E45" s="79">
        <f t="shared" si="0"/>
        <v>16501.916772787747</v>
      </c>
      <c r="F45" s="79">
        <f t="shared" si="1"/>
        <v>3774.4775156259352</v>
      </c>
      <c r="G45" s="80">
        <f t="shared" si="2"/>
        <v>549669.71057110257</v>
      </c>
      <c r="H45" s="60">
        <f t="shared" si="4"/>
        <v>16501.916772787747</v>
      </c>
      <c r="I45" s="60">
        <f>IF(C45&lt;&gt;"",(报价计算表!$E$4-SUM(还款计划表!$H$16:H44))*报价计算表!$D$6/VLOOKUP(报价计算表!$D$8,参数范围!$K$3:$L$10,2,0),"")</f>
        <v>3774.4775156259352</v>
      </c>
      <c r="J45" s="60">
        <f t="shared" si="5"/>
        <v>549669.71057110257</v>
      </c>
    </row>
    <row r="46" spans="1:10" ht="15.75">
      <c r="A46" s="59"/>
      <c r="B46" s="81">
        <f>IF(C46&lt;&gt;"",IF(C46&lt;&gt;$B$8,DATE(YEAR(B45),MONTH(B45)+VLOOKUP($E$8,参数范围!$K$3:$M$7,3,0),DAY(B45)),DATE(YEAR(B45),MONTH(B45)++VLOOKUP($E$8,参数范围!$K$3:$M$7,3,0),DAY($E$3))),"")</f>
        <v>42078</v>
      </c>
      <c r="C46" s="77">
        <f t="shared" si="3"/>
        <v>31</v>
      </c>
      <c r="D46" s="78">
        <f>IF(C46&lt;&gt;"",报价计算表!$G$8,"")</f>
        <v>20276.394288413681</v>
      </c>
      <c r="E46" s="79">
        <f t="shared" si="0"/>
        <v>16611.929551272999</v>
      </c>
      <c r="F46" s="79">
        <f t="shared" si="1"/>
        <v>3664.4647371406841</v>
      </c>
      <c r="G46" s="80">
        <f t="shared" si="2"/>
        <v>533057.78101982956</v>
      </c>
      <c r="H46" s="60">
        <f t="shared" si="4"/>
        <v>16611.929551272999</v>
      </c>
      <c r="I46" s="60">
        <f>IF(C46&lt;&gt;"",(报价计算表!$E$4-SUM(还款计划表!$H$16:H45))*报价计算表!$D$6/VLOOKUP(报价计算表!$D$8,参数范围!$K$3:$L$10,2,0),"")</f>
        <v>3664.4647371406841</v>
      </c>
      <c r="J46" s="60">
        <f t="shared" si="5"/>
        <v>533057.78101982956</v>
      </c>
    </row>
    <row r="47" spans="1:10" ht="15.75">
      <c r="A47" s="59"/>
      <c r="B47" s="81">
        <f>IF(C47&lt;&gt;"",IF(C47&lt;&gt;$B$8,DATE(YEAR(B46),MONTH(B46)+VLOOKUP($E$8,参数范围!$K$3:$M$7,3,0),DAY(B46)),DATE(YEAR(B46),MONTH(B46)++VLOOKUP($E$8,参数范围!$K$3:$M$7,3,0),DAY($E$3))),"")</f>
        <v>42109</v>
      </c>
      <c r="C47" s="77">
        <f t="shared" si="3"/>
        <v>32</v>
      </c>
      <c r="D47" s="78">
        <f>IF(C47&lt;&gt;"",报价计算表!$G$8,"")</f>
        <v>20276.394288413681</v>
      </c>
      <c r="E47" s="79">
        <f t="shared" si="0"/>
        <v>16722.675748281483</v>
      </c>
      <c r="F47" s="79">
        <f t="shared" si="1"/>
        <v>3553.7185401321972</v>
      </c>
      <c r="G47" s="80">
        <f t="shared" si="2"/>
        <v>516335.10527154809</v>
      </c>
      <c r="H47" s="60">
        <f t="shared" si="4"/>
        <v>16722.675748281483</v>
      </c>
      <c r="I47" s="60">
        <f>IF(C47&lt;&gt;"",(报价计算表!$E$4-SUM(还款计划表!$H$16:H46))*报价计算表!$D$6/VLOOKUP(报价计算表!$D$8,参数范围!$K$3:$L$10,2,0),"")</f>
        <v>3553.7185401321972</v>
      </c>
      <c r="J47" s="60">
        <f t="shared" si="5"/>
        <v>516335.10527154809</v>
      </c>
    </row>
    <row r="48" spans="1:10" ht="15.75">
      <c r="A48" s="59"/>
      <c r="B48" s="81">
        <f>IF(C48&lt;&gt;"",IF(C48&lt;&gt;$B$8,DATE(YEAR(B47),MONTH(B47)+VLOOKUP($E$8,参数范围!$K$3:$M$7,3,0),DAY(B47)),DATE(YEAR(B47),MONTH(B47)++VLOOKUP($E$8,参数范围!$K$3:$M$7,3,0),DAY($E$3))),"")</f>
        <v>42139</v>
      </c>
      <c r="C48" s="77">
        <f t="shared" si="3"/>
        <v>33</v>
      </c>
      <c r="D48" s="78">
        <f>IF(C48&lt;&gt;"",报价计算表!$G$8,"")</f>
        <v>20276.394288413681</v>
      </c>
      <c r="E48" s="79">
        <f t="shared" ref="E48:E76" si="6">IF(C48&lt;&gt;$B$8,H48,D48-F48)</f>
        <v>16834.160253270027</v>
      </c>
      <c r="F48" s="79">
        <f t="shared" si="1"/>
        <v>3442.2340351436542</v>
      </c>
      <c r="G48" s="80">
        <f t="shared" si="2"/>
        <v>499500.94501827809</v>
      </c>
      <c r="H48" s="60">
        <f t="shared" si="4"/>
        <v>16834.160253270027</v>
      </c>
      <c r="I48" s="60">
        <f>IF(C48&lt;&gt;"",(报价计算表!$E$4-SUM(还款计划表!$H$16:H47))*报价计算表!$D$6/VLOOKUP(报价计算表!$D$8,参数范围!$K$3:$L$10,2,0),"")</f>
        <v>3442.2340351436542</v>
      </c>
      <c r="J48" s="60">
        <f t="shared" si="5"/>
        <v>499500.94501827809</v>
      </c>
    </row>
    <row r="49" spans="1:10" ht="15.75">
      <c r="A49" s="59"/>
      <c r="B49" s="81">
        <f>IF(C49&lt;&gt;"",IF(C49&lt;&gt;$B$8,DATE(YEAR(B48),MONTH(B48)+VLOOKUP($E$8,参数范围!$K$3:$M$7,3,0),DAY(B48)),DATE(YEAR(B48),MONTH(B48)++VLOOKUP($E$8,参数范围!$K$3:$M$7,3,0),DAY($E$3))),"")</f>
        <v>42170</v>
      </c>
      <c r="C49" s="77">
        <f t="shared" si="3"/>
        <v>34</v>
      </c>
      <c r="D49" s="78">
        <f>IF(C49&lt;&gt;"",报价计算表!$G$8,"")</f>
        <v>20276.394288413681</v>
      </c>
      <c r="E49" s="79">
        <f t="shared" si="6"/>
        <v>16946.387988291826</v>
      </c>
      <c r="F49" s="79">
        <f t="shared" si="1"/>
        <v>3330.0063001218537</v>
      </c>
      <c r="G49" s="80">
        <f t="shared" si="2"/>
        <v>482554.55702998629</v>
      </c>
      <c r="H49" s="60">
        <f t="shared" si="4"/>
        <v>16946.387988291826</v>
      </c>
      <c r="I49" s="60">
        <f>IF(C49&lt;&gt;"",(报价计算表!$E$4-SUM(还款计划表!$H$16:H48))*报价计算表!$D$6/VLOOKUP(报价计算表!$D$8,参数范围!$K$3:$L$10,2,0),"")</f>
        <v>3330.0063001218537</v>
      </c>
      <c r="J49" s="60">
        <f t="shared" si="5"/>
        <v>482554.55702998629</v>
      </c>
    </row>
    <row r="50" spans="1:10" ht="15.75">
      <c r="A50" s="59"/>
      <c r="B50" s="81">
        <f>IF(C50&lt;&gt;"",IF(C50&lt;&gt;$B$8,DATE(YEAR(B49),MONTH(B49)+VLOOKUP($E$8,参数范围!$K$3:$M$7,3,0),DAY(B49)),DATE(YEAR(B49),MONTH(B49)++VLOOKUP($E$8,参数范围!$K$3:$M$7,3,0),DAY($E$3))),"")</f>
        <v>42200</v>
      </c>
      <c r="C50" s="77">
        <f t="shared" si="3"/>
        <v>35</v>
      </c>
      <c r="D50" s="78">
        <f>IF(C50&lt;&gt;"",报价计算表!$G$8,"")</f>
        <v>20276.394288413681</v>
      </c>
      <c r="E50" s="79">
        <f t="shared" si="6"/>
        <v>17059.363908213774</v>
      </c>
      <c r="F50" s="79">
        <f t="shared" si="1"/>
        <v>3217.0303801999089</v>
      </c>
      <c r="G50" s="80">
        <f t="shared" si="2"/>
        <v>465495.19312177249</v>
      </c>
      <c r="H50" s="60">
        <f t="shared" si="4"/>
        <v>17059.363908213774</v>
      </c>
      <c r="I50" s="60">
        <f>IF(C50&lt;&gt;"",(报价计算表!$E$4-SUM(还款计划表!$H$16:H49))*报价计算表!$D$6/VLOOKUP(报价计算表!$D$8,参数范围!$K$3:$L$10,2,0),"")</f>
        <v>3217.0303801999089</v>
      </c>
      <c r="J50" s="60">
        <f t="shared" si="5"/>
        <v>465495.19312177249</v>
      </c>
    </row>
    <row r="51" spans="1:10" ht="15.75">
      <c r="A51" s="59"/>
      <c r="B51" s="81">
        <f>IF(C51&lt;&gt;"",IF(C51&lt;&gt;$B$8,DATE(YEAR(B50),MONTH(B50)+VLOOKUP($E$8,参数范围!$K$3:$M$7,3,0),DAY(B50)),DATE(YEAR(B50),MONTH(B50)++VLOOKUP($E$8,参数范围!$K$3:$M$7,3,0),DAY($E$3))),"")</f>
        <v>42231</v>
      </c>
      <c r="C51" s="77">
        <f t="shared" si="3"/>
        <v>36</v>
      </c>
      <c r="D51" s="78">
        <f>IF(C51&lt;&gt;"",报价计算表!$G$8,"")</f>
        <v>20276.394288413681</v>
      </c>
      <c r="E51" s="79">
        <f t="shared" si="6"/>
        <v>17173.093000935198</v>
      </c>
      <c r="F51" s="79">
        <f t="shared" si="1"/>
        <v>3103.3012874784836</v>
      </c>
      <c r="G51" s="80">
        <f t="shared" si="2"/>
        <v>448322.10012083728</v>
      </c>
      <c r="H51" s="60">
        <f t="shared" si="4"/>
        <v>17173.093000935198</v>
      </c>
      <c r="I51" s="60">
        <f>IF(C51&lt;&gt;"",(报价计算表!$E$4-SUM(还款计划表!$H$16:H50))*报价计算表!$D$6/VLOOKUP(报价计算表!$D$8,参数范围!$K$3:$L$10,2,0),"")</f>
        <v>3103.3012874784836</v>
      </c>
      <c r="J51" s="60">
        <f t="shared" si="5"/>
        <v>448322.10012083728</v>
      </c>
    </row>
    <row r="52" spans="1:10" ht="15.75">
      <c r="A52" s="59"/>
      <c r="B52" s="81">
        <f>IF(C52&lt;&gt;"",IF(C52&lt;&gt;$B$8,DATE(YEAR(B51),MONTH(B51)+VLOOKUP($E$8,参数范围!$K$3:$M$7,3,0),DAY(B51)),DATE(YEAR(B51),MONTH(B51)++VLOOKUP($E$8,参数范围!$K$3:$M$7,3,0),DAY($E$3))),"")</f>
        <v>42262</v>
      </c>
      <c r="C52" s="77">
        <f t="shared" si="3"/>
        <v>37</v>
      </c>
      <c r="D52" s="78">
        <f>IF(C52&lt;&gt;"",报价计算表!$G$8,"")</f>
        <v>20276.394288413681</v>
      </c>
      <c r="E52" s="79">
        <f t="shared" si="6"/>
        <v>17287.5802876081</v>
      </c>
      <c r="F52" s="79">
        <f t="shared" si="1"/>
        <v>2988.8140008055821</v>
      </c>
      <c r="G52" s="80">
        <f t="shared" si="2"/>
        <v>431034.51983322919</v>
      </c>
      <c r="H52" s="60">
        <f t="shared" si="4"/>
        <v>17287.5802876081</v>
      </c>
      <c r="I52" s="60">
        <f>IF(C52&lt;&gt;"",(报价计算表!$E$4-SUM(还款计划表!$H$16:H51))*报价计算表!$D$6/VLOOKUP(报价计算表!$D$8,参数范围!$K$3:$L$10,2,0),"")</f>
        <v>2988.8140008055821</v>
      </c>
      <c r="J52" s="60">
        <f t="shared" si="5"/>
        <v>431034.51983322919</v>
      </c>
    </row>
    <row r="53" spans="1:10" ht="15.75">
      <c r="A53" s="59"/>
      <c r="B53" s="81">
        <f>IF(C53&lt;&gt;"",IF(C53&lt;&gt;$B$8,DATE(YEAR(B52),MONTH(B52)+VLOOKUP($E$8,参数范围!$K$3:$M$7,3,0),DAY(B52)),DATE(YEAR(B52),MONTH(B52)++VLOOKUP($E$8,参数范围!$K$3:$M$7,3,0),DAY($E$3))),"")</f>
        <v>42292</v>
      </c>
      <c r="C53" s="77">
        <f t="shared" si="3"/>
        <v>38</v>
      </c>
      <c r="D53" s="78">
        <f>IF(C53&lt;&gt;"",报价计算表!$G$8,"")</f>
        <v>20276.394288413681</v>
      </c>
      <c r="E53" s="79">
        <f t="shared" si="6"/>
        <v>17402.830822858821</v>
      </c>
      <c r="F53" s="79">
        <f t="shared" si="1"/>
        <v>2873.563465554862</v>
      </c>
      <c r="G53" s="80">
        <f t="shared" si="2"/>
        <v>413631.68901037035</v>
      </c>
      <c r="H53" s="60">
        <f t="shared" si="4"/>
        <v>17402.830822858821</v>
      </c>
      <c r="I53" s="60">
        <f>IF(C53&lt;&gt;"",(报价计算表!$E$4-SUM(还款计划表!$H$16:H52))*报价计算表!$D$6/VLOOKUP(报价计算表!$D$8,参数范围!$K$3:$L$10,2,0),"")</f>
        <v>2873.563465554862</v>
      </c>
      <c r="J53" s="60">
        <f t="shared" si="5"/>
        <v>413631.68901037035</v>
      </c>
    </row>
    <row r="54" spans="1:10" ht="15.75">
      <c r="A54" s="59"/>
      <c r="B54" s="81">
        <f>IF(C54&lt;&gt;"",IF(C54&lt;&gt;$B$8,DATE(YEAR(B53),MONTH(B53)+VLOOKUP($E$8,参数范围!$K$3:$M$7,3,0),DAY(B53)),DATE(YEAR(B53),MONTH(B53)++VLOOKUP($E$8,参数范围!$K$3:$M$7,3,0),DAY($E$3))),"")</f>
        <v>42323</v>
      </c>
      <c r="C54" s="77">
        <f t="shared" si="3"/>
        <v>39</v>
      </c>
      <c r="D54" s="78">
        <f>IF(C54&lt;&gt;"",报价计算表!$G$8,"")</f>
        <v>20276.394288413681</v>
      </c>
      <c r="E54" s="79">
        <f t="shared" si="6"/>
        <v>17518.849695011213</v>
      </c>
      <c r="F54" s="79">
        <f t="shared" si="1"/>
        <v>2757.5445934024697</v>
      </c>
      <c r="G54" s="80">
        <f t="shared" si="2"/>
        <v>396112.83931535913</v>
      </c>
      <c r="H54" s="60">
        <f t="shared" si="4"/>
        <v>17518.849695011213</v>
      </c>
      <c r="I54" s="60">
        <f>IF(C54&lt;&gt;"",(报价计算表!$E$4-SUM(还款计划表!$H$16:H53))*报价计算表!$D$6/VLOOKUP(报价计算表!$D$8,参数范围!$K$3:$L$10,2,0),"")</f>
        <v>2757.5445934024697</v>
      </c>
      <c r="J54" s="60">
        <f t="shared" si="5"/>
        <v>396112.83931535913</v>
      </c>
    </row>
    <row r="55" spans="1:10" ht="15.75">
      <c r="A55" s="59"/>
      <c r="B55" s="81">
        <f>IF(C55&lt;&gt;"",IF(C55&lt;&gt;$B$8,DATE(YEAR(B54),MONTH(B54)+VLOOKUP($E$8,参数范围!$K$3:$M$7,3,0),DAY(B54)),DATE(YEAR(B54),MONTH(B54)++VLOOKUP($E$8,参数范围!$K$3:$M$7,3,0),DAY($E$3))),"")</f>
        <v>42353</v>
      </c>
      <c r="C55" s="77">
        <f t="shared" si="3"/>
        <v>40</v>
      </c>
      <c r="D55" s="78">
        <f>IF(C55&lt;&gt;"",报价计算表!$G$8,"")</f>
        <v>20276.394288413681</v>
      </c>
      <c r="E55" s="79">
        <f t="shared" si="6"/>
        <v>17635.642026311285</v>
      </c>
      <c r="F55" s="79">
        <f t="shared" si="1"/>
        <v>2640.752262102395</v>
      </c>
      <c r="G55" s="80">
        <f t="shared" si="2"/>
        <v>378477.19728904782</v>
      </c>
      <c r="H55" s="60">
        <f t="shared" si="4"/>
        <v>17635.642026311285</v>
      </c>
      <c r="I55" s="60">
        <f>IF(C55&lt;&gt;"",(报价计算表!$E$4-SUM(还款计划表!$H$16:H54))*报价计算表!$D$6/VLOOKUP(报价计算表!$D$8,参数范围!$K$3:$L$10,2,0),"")</f>
        <v>2640.752262102395</v>
      </c>
      <c r="J55" s="60">
        <f t="shared" si="5"/>
        <v>378477.19728904782</v>
      </c>
    </row>
    <row r="56" spans="1:10" ht="15.75">
      <c r="A56" s="59"/>
      <c r="B56" s="81">
        <f>IF(C56&lt;&gt;"",IF(C56&lt;&gt;$B$8,DATE(YEAR(B55),MONTH(B55)+VLOOKUP($E$8,参数范围!$K$3:$M$7,3,0),DAY(B55)),DATE(YEAR(B55),MONTH(B55)++VLOOKUP($E$8,参数范围!$K$3:$M$7,3,0),DAY($E$3))),"")</f>
        <v>42384</v>
      </c>
      <c r="C56" s="77">
        <f t="shared" si="3"/>
        <v>41</v>
      </c>
      <c r="D56" s="78">
        <f>IF(C56&lt;&gt;"",报价计算表!$G$8,"")</f>
        <v>20276.394288413681</v>
      </c>
      <c r="E56" s="79">
        <f t="shared" si="6"/>
        <v>17753.212973153361</v>
      </c>
      <c r="F56" s="79">
        <f t="shared" si="1"/>
        <v>2523.1813152603199</v>
      </c>
      <c r="G56" s="80">
        <f t="shared" si="2"/>
        <v>360723.98431589449</v>
      </c>
      <c r="H56" s="60">
        <f t="shared" si="4"/>
        <v>17753.212973153361</v>
      </c>
      <c r="I56" s="60">
        <f>IF(C56&lt;&gt;"",(报价计算表!$E$4-SUM(还款计划表!$H$16:H55))*报价计算表!$D$6/VLOOKUP(报价计算表!$D$8,参数范围!$K$3:$L$10,2,0),"")</f>
        <v>2523.1813152603199</v>
      </c>
      <c r="J56" s="60">
        <f t="shared" si="5"/>
        <v>360723.98431589449</v>
      </c>
    </row>
    <row r="57" spans="1:10" ht="15.75">
      <c r="A57" s="59"/>
      <c r="B57" s="81">
        <f>IF(C57&lt;&gt;"",IF(C57&lt;&gt;$B$8,DATE(YEAR(B56),MONTH(B56)+VLOOKUP($E$8,参数范围!$K$3:$M$7,3,0),DAY(B56)),DATE(YEAR(B56),MONTH(B56)++VLOOKUP($E$8,参数范围!$K$3:$M$7,3,0),DAY($E$3))),"")</f>
        <v>42415</v>
      </c>
      <c r="C57" s="77">
        <f t="shared" si="3"/>
        <v>42</v>
      </c>
      <c r="D57" s="78">
        <f>IF(C57&lt;&gt;"",报价计算表!$G$8,"")</f>
        <v>20276.394288413681</v>
      </c>
      <c r="E57" s="79">
        <f t="shared" si="6"/>
        <v>17871.567726307716</v>
      </c>
      <c r="F57" s="79">
        <f t="shared" si="1"/>
        <v>2404.8265621059645</v>
      </c>
      <c r="G57" s="80">
        <f t="shared" si="2"/>
        <v>342852.41658958676</v>
      </c>
      <c r="H57" s="60">
        <f t="shared" si="4"/>
        <v>17871.567726307716</v>
      </c>
      <c r="I57" s="60">
        <f>IF(C57&lt;&gt;"",(报价计算表!$E$4-SUM(还款计划表!$H$16:H56))*报价计算表!$D$6/VLOOKUP(报价计算表!$D$8,参数范围!$K$3:$L$10,2,0),"")</f>
        <v>2404.8265621059645</v>
      </c>
      <c r="J57" s="60">
        <f t="shared" si="5"/>
        <v>342852.41658958676</v>
      </c>
    </row>
    <row r="58" spans="1:10" ht="15.75">
      <c r="A58" s="59"/>
      <c r="B58" s="81">
        <f>IF(C58&lt;&gt;"",IF(C58&lt;&gt;$B$8,DATE(YEAR(B57),MONTH(B57)+VLOOKUP($E$8,参数范围!$K$3:$M$7,3,0),DAY(B57)),DATE(YEAR(B57),MONTH(B57)++VLOOKUP($E$8,参数范围!$K$3:$M$7,3,0),DAY($E$3))),"")</f>
        <v>42444</v>
      </c>
      <c r="C58" s="77">
        <f t="shared" si="3"/>
        <v>43</v>
      </c>
      <c r="D58" s="78">
        <f>IF(C58&lt;&gt;"",报价计算表!$G$8,"")</f>
        <v>20276.394288413681</v>
      </c>
      <c r="E58" s="79">
        <f t="shared" si="6"/>
        <v>17990.71151114977</v>
      </c>
      <c r="F58" s="79">
        <f t="shared" si="1"/>
        <v>2285.6827772639131</v>
      </c>
      <c r="G58" s="80">
        <f t="shared" si="2"/>
        <v>324861.70507843699</v>
      </c>
      <c r="H58" s="60">
        <f t="shared" si="4"/>
        <v>17990.71151114977</v>
      </c>
      <c r="I58" s="60">
        <f>IF(C58&lt;&gt;"",(报价计算表!$E$4-SUM(还款计划表!$H$16:H57))*报价计算表!$D$6/VLOOKUP(报价计算表!$D$8,参数范围!$K$3:$L$10,2,0),"")</f>
        <v>2285.6827772639131</v>
      </c>
      <c r="J58" s="60">
        <f t="shared" si="5"/>
        <v>324861.70507843699</v>
      </c>
    </row>
    <row r="59" spans="1:10" ht="15.75">
      <c r="A59" s="59"/>
      <c r="B59" s="81">
        <f>IF(C59&lt;&gt;"",IF(C59&lt;&gt;$B$8,DATE(YEAR(B58),MONTH(B58)+VLOOKUP($E$8,参数范围!$K$3:$M$7,3,0),DAY(B58)),DATE(YEAR(B58),MONTH(B58)++VLOOKUP($E$8,参数范围!$K$3:$M$7,3,0),DAY($E$3))),"")</f>
        <v>42475</v>
      </c>
      <c r="C59" s="77">
        <f t="shared" si="3"/>
        <v>44</v>
      </c>
      <c r="D59" s="78">
        <f>IF(C59&lt;&gt;"",报价计算表!$G$8,"")</f>
        <v>20276.394288413681</v>
      </c>
      <c r="E59" s="79">
        <f t="shared" si="6"/>
        <v>18110.649587890766</v>
      </c>
      <c r="F59" s="79">
        <f t="shared" si="1"/>
        <v>2165.7447005229146</v>
      </c>
      <c r="G59" s="80">
        <f t="shared" si="2"/>
        <v>306751.05549054622</v>
      </c>
      <c r="H59" s="60">
        <f t="shared" si="4"/>
        <v>18110.649587890766</v>
      </c>
      <c r="I59" s="60">
        <f>IF(C59&lt;&gt;"",(报价计算表!$E$4-SUM(还款计划表!$H$16:H58))*报价计算表!$D$6/VLOOKUP(报价计算表!$D$8,参数范围!$K$3:$L$10,2,0),"")</f>
        <v>2165.7447005229146</v>
      </c>
      <c r="J59" s="60">
        <f t="shared" si="5"/>
        <v>306751.05549054622</v>
      </c>
    </row>
    <row r="60" spans="1:10" ht="15.75">
      <c r="A60" s="59"/>
      <c r="B60" s="81">
        <f>IF(C60&lt;&gt;"",IF(C60&lt;&gt;$B$8,DATE(YEAR(B59),MONTH(B59)+VLOOKUP($E$8,参数范围!$K$3:$M$7,3,0),DAY(B59)),DATE(YEAR(B59),MONTH(B59)++VLOOKUP($E$8,参数范围!$K$3:$M$7,3,0),DAY($E$3))),"")</f>
        <v>42505</v>
      </c>
      <c r="C60" s="77">
        <f t="shared" si="3"/>
        <v>45</v>
      </c>
      <c r="D60" s="78">
        <f>IF(C60&lt;&gt;"",报价计算表!$G$8,"")</f>
        <v>20276.394288413681</v>
      </c>
      <c r="E60" s="79">
        <f t="shared" si="6"/>
        <v>18231.38725181004</v>
      </c>
      <c r="F60" s="79">
        <f t="shared" si="1"/>
        <v>2045.0070366036434</v>
      </c>
      <c r="G60" s="80">
        <f t="shared" si="2"/>
        <v>288519.66823873617</v>
      </c>
      <c r="H60" s="60">
        <f t="shared" si="4"/>
        <v>18231.38725181004</v>
      </c>
      <c r="I60" s="60">
        <f>IF(C60&lt;&gt;"",(报价计算表!$E$4-SUM(还款计划表!$H$16:H59))*报价计算表!$D$6/VLOOKUP(报价计算表!$D$8,参数范围!$K$3:$L$10,2,0),"")</f>
        <v>2045.0070366036434</v>
      </c>
      <c r="J60" s="60">
        <f t="shared" si="5"/>
        <v>288519.66823873617</v>
      </c>
    </row>
    <row r="61" spans="1:10" ht="15.75">
      <c r="A61" s="59"/>
      <c r="B61" s="81">
        <f>IF(C61&lt;&gt;"",IF(C61&lt;&gt;$B$8,DATE(YEAR(B60),MONTH(B60)+VLOOKUP($E$8,参数范围!$K$3:$M$7,3,0),DAY(B60)),DATE(YEAR(B60),MONTH(B60)++VLOOKUP($E$8,参数范围!$K$3:$M$7,3,0),DAY($E$3))),"")</f>
        <v>42536</v>
      </c>
      <c r="C61" s="77">
        <f t="shared" si="3"/>
        <v>46</v>
      </c>
      <c r="D61" s="78">
        <f>IF(C61&lt;&gt;"",报价计算表!$G$8,"")</f>
        <v>20276.394288413681</v>
      </c>
      <c r="E61" s="79">
        <f t="shared" si="6"/>
        <v>18352.929833488772</v>
      </c>
      <c r="F61" s="79">
        <f t="shared" si="1"/>
        <v>1923.4644549249097</v>
      </c>
      <c r="G61" s="80">
        <f t="shared" si="2"/>
        <v>270166.73840524739</v>
      </c>
      <c r="H61" s="60">
        <f t="shared" si="4"/>
        <v>18352.929833488772</v>
      </c>
      <c r="I61" s="60">
        <f>IF(C61&lt;&gt;"",(报价计算表!$E$4-SUM(还款计划表!$H$16:H60))*报价计算表!$D$6/VLOOKUP(报价计算表!$D$8,参数范围!$K$3:$L$10,2,0),"")</f>
        <v>1923.4644549249097</v>
      </c>
      <c r="J61" s="60">
        <f t="shared" si="5"/>
        <v>270166.73840524739</v>
      </c>
    </row>
    <row r="62" spans="1:10" ht="15.75">
      <c r="A62" s="59"/>
      <c r="B62" s="81">
        <f>IF(C62&lt;&gt;"",IF(C62&lt;&gt;$B$8,DATE(YEAR(B61),MONTH(B61)+VLOOKUP($E$8,参数范围!$K$3:$M$7,3,0),DAY(B61)),DATE(YEAR(B61),MONTH(B61)++VLOOKUP($E$8,参数范围!$K$3:$M$7,3,0),DAY($E$3))),"")</f>
        <v>42566</v>
      </c>
      <c r="C62" s="77">
        <f t="shared" si="3"/>
        <v>47</v>
      </c>
      <c r="D62" s="78">
        <f>IF(C62&lt;&gt;"",报价计算表!$G$8,"")</f>
        <v>20276.394288413681</v>
      </c>
      <c r="E62" s="79">
        <f t="shared" si="6"/>
        <v>18475.282699045365</v>
      </c>
      <c r="F62" s="79">
        <f t="shared" si="1"/>
        <v>1801.1115893683179</v>
      </c>
      <c r="G62" s="80">
        <f t="shared" si="2"/>
        <v>251691.45570620202</v>
      </c>
      <c r="H62" s="60">
        <f t="shared" si="4"/>
        <v>18475.282699045365</v>
      </c>
      <c r="I62" s="60">
        <f>IF(C62&lt;&gt;"",(报价计算表!$E$4-SUM(还款计划表!$H$16:H61))*报价计算表!$D$6/VLOOKUP(报价计算表!$D$8,参数范围!$K$3:$L$10,2,0),"")</f>
        <v>1801.1115893683179</v>
      </c>
      <c r="J62" s="60">
        <f t="shared" si="5"/>
        <v>251691.45570620202</v>
      </c>
    </row>
    <row r="63" spans="1:10" ht="15.75">
      <c r="A63" s="59"/>
      <c r="B63" s="81">
        <f>IF(C63&lt;&gt;"",IF(C63&lt;&gt;$B$8,DATE(YEAR(B62),MONTH(B62)+VLOOKUP($E$8,参数范围!$K$3:$M$7,3,0),DAY(B62)),DATE(YEAR(B62),MONTH(B62)++VLOOKUP($E$8,参数范围!$K$3:$M$7,3,0),DAY($E$3))),"")</f>
        <v>42597</v>
      </c>
      <c r="C63" s="77">
        <f t="shared" si="3"/>
        <v>48</v>
      </c>
      <c r="D63" s="78">
        <f>IF(C63&lt;&gt;"",报价计算表!$G$8,"")</f>
        <v>20276.394288413681</v>
      </c>
      <c r="E63" s="79">
        <f t="shared" si="6"/>
        <v>18598.451250372331</v>
      </c>
      <c r="F63" s="79">
        <f t="shared" si="1"/>
        <v>1677.9430380413487</v>
      </c>
      <c r="G63" s="80">
        <f t="shared" si="2"/>
        <v>233093.00445582968</v>
      </c>
      <c r="H63" s="60">
        <f t="shared" si="4"/>
        <v>18598.451250372331</v>
      </c>
      <c r="I63" s="60">
        <f>IF(C63&lt;&gt;"",(报价计算表!$E$4-SUM(还款计划表!$H$16:H62))*报价计算表!$D$6/VLOOKUP(报价计算表!$D$8,参数范围!$K$3:$L$10,2,0),"")</f>
        <v>1677.9430380413487</v>
      </c>
      <c r="J63" s="60">
        <f t="shared" si="5"/>
        <v>233093.00445582968</v>
      </c>
    </row>
    <row r="64" spans="1:10" ht="15.75">
      <c r="A64" s="59"/>
      <c r="B64" s="81">
        <f>IF(C64&lt;&gt;"",IF(C64&lt;&gt;$B$8,DATE(YEAR(B63),MONTH(B63)+VLOOKUP($E$8,参数范围!$K$3:$M$7,3,0),DAY(B63)),DATE(YEAR(B63),MONTH(B63)++VLOOKUP($E$8,参数范围!$K$3:$M$7,3,0),DAY($E$3))),"")</f>
        <v>42628</v>
      </c>
      <c r="C64" s="77">
        <f t="shared" si="3"/>
        <v>49</v>
      </c>
      <c r="D64" s="78">
        <f>IF(C64&lt;&gt;"",报价计算表!$G$8,"")</f>
        <v>20276.394288413681</v>
      </c>
      <c r="E64" s="79">
        <f t="shared" si="6"/>
        <v>18722.440925374816</v>
      </c>
      <c r="F64" s="79">
        <f t="shared" si="1"/>
        <v>1553.9533630388667</v>
      </c>
      <c r="G64" s="80">
        <f t="shared" si="2"/>
        <v>214370.56353045488</v>
      </c>
      <c r="H64" s="60">
        <f t="shared" si="4"/>
        <v>18722.440925374816</v>
      </c>
      <c r="I64" s="60">
        <f>IF(C64&lt;&gt;"",(报价计算表!$E$4-SUM(还款计划表!$H$16:H63))*报价计算表!$D$6/VLOOKUP(报价计算表!$D$8,参数范围!$K$3:$L$10,2,0),"")</f>
        <v>1553.9533630388667</v>
      </c>
      <c r="J64" s="60">
        <f t="shared" si="5"/>
        <v>214370.56353045488</v>
      </c>
    </row>
    <row r="65" spans="1:10" ht="15.75">
      <c r="A65" s="59"/>
      <c r="B65" s="81">
        <f>IF(C65&lt;&gt;"",IF(C65&lt;&gt;$B$8,DATE(YEAR(B64),MONTH(B64)+VLOOKUP($E$8,参数范围!$K$3:$M$7,3,0),DAY(B64)),DATE(YEAR(B64),MONTH(B64)++VLOOKUP($E$8,参数范围!$K$3:$M$7,3,0),DAY($E$3))),"")</f>
        <v>42658</v>
      </c>
      <c r="C65" s="77">
        <f t="shared" si="3"/>
        <v>50</v>
      </c>
      <c r="D65" s="78">
        <f>IF(C65&lt;&gt;"",报价计算表!$G$8,"")</f>
        <v>20276.394288413681</v>
      </c>
      <c r="E65" s="79">
        <f t="shared" si="6"/>
        <v>18847.257198210646</v>
      </c>
      <c r="F65" s="79">
        <f t="shared" si="1"/>
        <v>1429.1370902030339</v>
      </c>
      <c r="G65" s="80">
        <f t="shared" si="2"/>
        <v>195523.30633224425</v>
      </c>
      <c r="H65" s="60">
        <f t="shared" si="4"/>
        <v>18847.257198210646</v>
      </c>
      <c r="I65" s="60">
        <f>IF(C65&lt;&gt;"",(报价计算表!$E$4-SUM(还款计划表!$H$16:H64))*报价计算表!$D$6/VLOOKUP(报价计算表!$D$8,参数范围!$K$3:$L$10,2,0),"")</f>
        <v>1429.1370902030339</v>
      </c>
      <c r="J65" s="60">
        <f t="shared" si="5"/>
        <v>195523.30633224425</v>
      </c>
    </row>
    <row r="66" spans="1:10" ht="15.75">
      <c r="A66" s="59"/>
      <c r="B66" s="81">
        <f>IF(C66&lt;&gt;"",IF(C66&lt;&gt;$B$8,DATE(YEAR(B65),MONTH(B65)+VLOOKUP($E$8,参数范围!$K$3:$M$7,3,0),DAY(B65)),DATE(YEAR(B65),MONTH(B65)++VLOOKUP($E$8,参数范围!$K$3:$M$7,3,0),DAY($E$3))),"")</f>
        <v>42689</v>
      </c>
      <c r="C66" s="77">
        <f t="shared" si="3"/>
        <v>51</v>
      </c>
      <c r="D66" s="78">
        <f>IF(C66&lt;&gt;"",报价计算表!$G$8,"")</f>
        <v>20276.394288413681</v>
      </c>
      <c r="E66" s="79">
        <f t="shared" si="6"/>
        <v>18972.905579532053</v>
      </c>
      <c r="F66" s="79">
        <f t="shared" si="1"/>
        <v>1303.4887088816295</v>
      </c>
      <c r="G66" s="80">
        <f t="shared" si="2"/>
        <v>176550.40075271219</v>
      </c>
      <c r="H66" s="60">
        <f t="shared" si="4"/>
        <v>18972.905579532053</v>
      </c>
      <c r="I66" s="60">
        <f>IF(C66&lt;&gt;"",(报价计算表!$E$4-SUM(还款计划表!$H$16:H65))*报价计算表!$D$6/VLOOKUP(报价计算表!$D$8,参数范围!$K$3:$L$10,2,0),"")</f>
        <v>1303.4887088816295</v>
      </c>
      <c r="J66" s="60">
        <f t="shared" si="5"/>
        <v>176550.40075271219</v>
      </c>
    </row>
    <row r="67" spans="1:10" ht="15.75">
      <c r="A67" s="59"/>
      <c r="B67" s="81">
        <f>IF(C67&lt;&gt;"",IF(C67&lt;&gt;$B$8,DATE(YEAR(B66),MONTH(B66)+VLOOKUP($E$8,参数范围!$K$3:$M$7,3,0),DAY(B66)),DATE(YEAR(B66),MONTH(B66)++VLOOKUP($E$8,参数范围!$K$3:$M$7,3,0),DAY($E$3))),"")</f>
        <v>42719</v>
      </c>
      <c r="C67" s="77">
        <f t="shared" si="3"/>
        <v>52</v>
      </c>
      <c r="D67" s="78">
        <f>IF(C67&lt;&gt;"",报价计算表!$G$8,"")</f>
        <v>20276.394288413681</v>
      </c>
      <c r="E67" s="79">
        <f t="shared" si="6"/>
        <v>19099.391616728932</v>
      </c>
      <c r="F67" s="79">
        <f t="shared" si="1"/>
        <v>1177.0026716847494</v>
      </c>
      <c r="G67" s="80">
        <f t="shared" si="2"/>
        <v>157451.00913598324</v>
      </c>
      <c r="H67" s="60">
        <f t="shared" si="4"/>
        <v>19099.391616728932</v>
      </c>
      <c r="I67" s="60">
        <f>IF(C67&lt;&gt;"",(报价计算表!$E$4-SUM(还款计划表!$H$16:H66))*报价计算表!$D$6/VLOOKUP(报价计算表!$D$8,参数范围!$K$3:$L$10,2,0),"")</f>
        <v>1177.0026716847494</v>
      </c>
      <c r="J67" s="60">
        <f t="shared" si="5"/>
        <v>157451.00913598324</v>
      </c>
    </row>
    <row r="68" spans="1:10" ht="15.75">
      <c r="A68" s="59"/>
      <c r="B68" s="81">
        <f>IF(C68&lt;&gt;"",IF(C68&lt;&gt;$B$8,DATE(YEAR(B67),MONTH(B67)+VLOOKUP($E$8,参数范围!$K$3:$M$7,3,0),DAY(B67)),DATE(YEAR(B67),MONTH(B67)++VLOOKUP($E$8,参数范围!$K$3:$M$7,3,0),DAY($E$3))),"")</f>
        <v>42750</v>
      </c>
      <c r="C68" s="77">
        <f t="shared" si="3"/>
        <v>53</v>
      </c>
      <c r="D68" s="78">
        <f>IF(C68&lt;&gt;"",报价计算表!$G$8,"")</f>
        <v>20276.394288413681</v>
      </c>
      <c r="E68" s="79">
        <f t="shared" si="6"/>
        <v>19226.720894173792</v>
      </c>
      <c r="F68" s="79">
        <f t="shared" si="1"/>
        <v>1049.6733942398894</v>
      </c>
      <c r="G68" s="80">
        <f t="shared" si="2"/>
        <v>138224.28824180947</v>
      </c>
      <c r="H68" s="60">
        <f t="shared" si="4"/>
        <v>19226.720894173792</v>
      </c>
      <c r="I68" s="60">
        <f>IF(C68&lt;&gt;"",(报价计算表!$E$4-SUM(还款计划表!$H$16:H67))*报价计算表!$D$6/VLOOKUP(报价计算表!$D$8,参数范围!$K$3:$L$10,2,0),"")</f>
        <v>1049.6733942398894</v>
      </c>
      <c r="J68" s="60">
        <f t="shared" si="5"/>
        <v>138224.28824180947</v>
      </c>
    </row>
    <row r="69" spans="1:10" ht="15.75">
      <c r="A69" s="59"/>
      <c r="B69" s="81">
        <f>IF(C69&lt;&gt;"",IF(C69&lt;&gt;$B$8,DATE(YEAR(B68),MONTH(B68)+VLOOKUP($E$8,参数范围!$K$3:$M$7,3,0),DAY(B68)),DATE(YEAR(B68),MONTH(B68)++VLOOKUP($E$8,参数范围!$K$3:$M$7,3,0),DAY($E$3))),"")</f>
        <v>42781</v>
      </c>
      <c r="C69" s="77">
        <f t="shared" si="3"/>
        <v>54</v>
      </c>
      <c r="D69" s="78">
        <f>IF(C69&lt;&gt;"",报价计算表!$G$8,"")</f>
        <v>20276.394288413681</v>
      </c>
      <c r="E69" s="79">
        <f t="shared" si="6"/>
        <v>19354.899033468286</v>
      </c>
      <c r="F69" s="79">
        <f t="shared" si="1"/>
        <v>921.49525494539728</v>
      </c>
      <c r="G69" s="80">
        <f t="shared" si="2"/>
        <v>118869.38920834118</v>
      </c>
      <c r="H69" s="60">
        <f t="shared" si="4"/>
        <v>19354.899033468286</v>
      </c>
      <c r="I69" s="60">
        <f>IF(C69&lt;&gt;"",(报价计算表!$E$4-SUM(还款计划表!$H$16:H68))*报价计算表!$D$6/VLOOKUP(报价计算表!$D$8,参数范围!$K$3:$L$10,2,0),"")</f>
        <v>921.49525494539728</v>
      </c>
      <c r="J69" s="60">
        <f t="shared" si="5"/>
        <v>118869.38920834118</v>
      </c>
    </row>
    <row r="70" spans="1:10" ht="15.75">
      <c r="A70" s="59"/>
      <c r="B70" s="81">
        <f>IF(C70&lt;&gt;"",IF(C70&lt;&gt;$B$8,DATE(YEAR(B69),MONTH(B69)+VLOOKUP($E$8,参数范围!$K$3:$M$7,3,0),DAY(B69)),DATE(YEAR(B69),MONTH(B69)++VLOOKUP($E$8,参数范围!$K$3:$M$7,3,0),DAY($E$3))),"")</f>
        <v>42809</v>
      </c>
      <c r="C70" s="77">
        <f t="shared" si="3"/>
        <v>55</v>
      </c>
      <c r="D70" s="78">
        <f>IF(C70&lt;&gt;"",报价计算表!$G$8,"")</f>
        <v>20276.394288413681</v>
      </c>
      <c r="E70" s="79">
        <f t="shared" si="6"/>
        <v>19483.931693691407</v>
      </c>
      <c r="F70" s="79">
        <f t="shared" si="1"/>
        <v>792.46259472227496</v>
      </c>
      <c r="G70" s="80">
        <f t="shared" si="2"/>
        <v>99385.457514649766</v>
      </c>
      <c r="H70" s="60">
        <f t="shared" si="4"/>
        <v>19483.931693691407</v>
      </c>
      <c r="I70" s="60">
        <f>IF(C70&lt;&gt;"",(报价计算表!$E$4-SUM(还款计划表!$H$16:H69))*报价计算表!$D$6/VLOOKUP(报价计算表!$D$8,参数范围!$K$3:$L$10,2,0),"")</f>
        <v>792.46259472227496</v>
      </c>
      <c r="J70" s="60">
        <f t="shared" si="5"/>
        <v>99385.457514649766</v>
      </c>
    </row>
    <row r="71" spans="1:10" ht="15.75">
      <c r="A71" s="59"/>
      <c r="B71" s="81">
        <f>IF(C71&lt;&gt;"",IF(C71&lt;&gt;$B$8,DATE(YEAR(B70),MONTH(B70)+VLOOKUP($E$8,参数范围!$K$3:$M$7,3,0),DAY(B70)),DATE(YEAR(B70),MONTH(B70)++VLOOKUP($E$8,参数范围!$K$3:$M$7,3,0),DAY($E$3))),"")</f>
        <v>42840</v>
      </c>
      <c r="C71" s="77">
        <f t="shared" si="3"/>
        <v>56</v>
      </c>
      <c r="D71" s="78">
        <f>IF(C71&lt;&gt;"",报价计算表!$G$8,"")</f>
        <v>20276.394288413681</v>
      </c>
      <c r="E71" s="79">
        <f t="shared" si="6"/>
        <v>19613.824571649347</v>
      </c>
      <c r="F71" s="79">
        <f t="shared" si="1"/>
        <v>662.56971676433227</v>
      </c>
      <c r="G71" s="80">
        <f t="shared" si="2"/>
        <v>79771.632943000412</v>
      </c>
      <c r="H71" s="60">
        <f t="shared" si="4"/>
        <v>19613.824571649347</v>
      </c>
      <c r="I71" s="60">
        <f>IF(C71&lt;&gt;"",(报价计算表!$E$4-SUM(还款计划表!$H$16:H70))*报价计算表!$D$6/VLOOKUP(报价计算表!$D$8,参数范围!$K$3:$L$10,2,0),"")</f>
        <v>662.56971676433227</v>
      </c>
      <c r="J71" s="60">
        <f t="shared" si="5"/>
        <v>79771.632943000412</v>
      </c>
    </row>
    <row r="72" spans="1:10" ht="15.75">
      <c r="A72" s="59"/>
      <c r="B72" s="81">
        <f>IF(C72&lt;&gt;"",IF(C72&lt;&gt;$B$8,DATE(YEAR(B71),MONTH(B71)+VLOOKUP($E$8,参数范围!$K$3:$M$7,3,0),DAY(B71)),DATE(YEAR(B71),MONTH(B71)++VLOOKUP($E$8,参数范围!$K$3:$M$7,3,0),DAY($E$3))),"")</f>
        <v>42870</v>
      </c>
      <c r="C72" s="77">
        <f t="shared" si="3"/>
        <v>57</v>
      </c>
      <c r="D72" s="78">
        <f>IF(C72&lt;&gt;"",报价计算表!$G$8,"")</f>
        <v>20276.394288413681</v>
      </c>
      <c r="E72" s="79">
        <f t="shared" si="6"/>
        <v>19744.583402127013</v>
      </c>
      <c r="F72" s="79">
        <f t="shared" si="1"/>
        <v>531.81088628667021</v>
      </c>
      <c r="G72" s="80">
        <f t="shared" si="2"/>
        <v>60027.049540873399</v>
      </c>
      <c r="H72" s="60">
        <f t="shared" si="4"/>
        <v>19744.583402127013</v>
      </c>
      <c r="I72" s="60">
        <f>IF(C72&lt;&gt;"",(报价计算表!$E$4-SUM(还款计划表!$H$16:H71))*报价计算表!$D$6/VLOOKUP(报价计算表!$D$8,参数范围!$K$3:$L$10,2,0),"")</f>
        <v>531.81088628667021</v>
      </c>
      <c r="J72" s="60">
        <f t="shared" si="5"/>
        <v>60027.049540873399</v>
      </c>
    </row>
    <row r="73" spans="1:10" ht="15.75">
      <c r="A73" s="59"/>
      <c r="B73" s="81">
        <f>IF(C73&lt;&gt;"",IF(C73&lt;&gt;$B$8,DATE(YEAR(B72),MONTH(B72)+VLOOKUP($E$8,参数范围!$K$3:$M$7,3,0),DAY(B72)),DATE(YEAR(B72),MONTH(B72)++VLOOKUP($E$8,参数范围!$K$3:$M$7,3,0),DAY($E$3))),"")</f>
        <v>42901</v>
      </c>
      <c r="C73" s="77">
        <f t="shared" si="3"/>
        <v>58</v>
      </c>
      <c r="D73" s="78">
        <f>IF(C73&lt;&gt;"",报价计算表!$G$8,"")</f>
        <v>20276.394288413681</v>
      </c>
      <c r="E73" s="79">
        <f t="shared" si="6"/>
        <v>19876.21395814119</v>
      </c>
      <c r="F73" s="79">
        <f t="shared" si="1"/>
        <v>400.18033027248998</v>
      </c>
      <c r="G73" s="80">
        <f t="shared" si="2"/>
        <v>40150.835582732208</v>
      </c>
      <c r="H73" s="60">
        <f t="shared" si="4"/>
        <v>19876.21395814119</v>
      </c>
      <c r="I73" s="60">
        <f>IF(C73&lt;&gt;"",(报价计算表!$E$4-SUM(还款计划表!$H$16:H72))*报价计算表!$D$6/VLOOKUP(报价计算表!$D$8,参数范围!$K$3:$L$10,2,0),"")</f>
        <v>400.18033027248998</v>
      </c>
      <c r="J73" s="60">
        <f t="shared" si="5"/>
        <v>40150.835582732208</v>
      </c>
    </row>
    <row r="74" spans="1:10" ht="15.75">
      <c r="A74" s="59"/>
      <c r="B74" s="81">
        <f>IF(C74&lt;&gt;"",IF(C74&lt;&gt;$B$8,DATE(YEAR(B73),MONTH(B73)+VLOOKUP($E$8,参数范围!$K$3:$M$7,3,0),DAY(B73)),DATE(YEAR(B73),MONTH(B73)++VLOOKUP($E$8,参数范围!$K$3:$M$7,3,0),DAY($E$3))),"")</f>
        <v>42931</v>
      </c>
      <c r="C74" s="77">
        <f t="shared" si="3"/>
        <v>59</v>
      </c>
      <c r="D74" s="78">
        <f>IF(C74&lt;&gt;"",报价计算表!$G$8,"")</f>
        <v>20276.394288413681</v>
      </c>
      <c r="E74" s="79">
        <f t="shared" si="6"/>
        <v>20008.722051195466</v>
      </c>
      <c r="F74" s="79">
        <f t="shared" si="1"/>
        <v>267.67223721821557</v>
      </c>
      <c r="G74" s="80">
        <f t="shared" si="2"/>
        <v>20142.113531536743</v>
      </c>
      <c r="H74" s="60">
        <f t="shared" si="4"/>
        <v>20008.722051195466</v>
      </c>
      <c r="I74" s="60">
        <f>IF(C74&lt;&gt;"",(报价计算表!$E$4-SUM(还款计划表!$H$16:H73))*报价计算表!$D$6/VLOOKUP(报价计算表!$D$8,参数范围!$K$3:$L$10,2,0),"")</f>
        <v>267.67223721821557</v>
      </c>
      <c r="J74" s="60">
        <f t="shared" si="5"/>
        <v>20142.113531536743</v>
      </c>
    </row>
    <row r="75" spans="1:10" ht="15.75">
      <c r="A75" s="59"/>
      <c r="B75" s="81">
        <f>IF(C75&lt;&gt;"",IF(C75&lt;&gt;$B$8,DATE(YEAR(B74),MONTH(B74)+VLOOKUP($E$8,参数范围!$K$3:$M$7,3,0),DAY(B74)),DATE(YEAR(B74),MONTH(B74)++VLOOKUP($E$8,参数范围!$K$3:$M$7,3,0),DAY($E$3))),"")</f>
        <v>42948</v>
      </c>
      <c r="C75" s="77">
        <f t="shared" si="3"/>
        <v>60</v>
      </c>
      <c r="D75" s="78">
        <f>IF(C75&lt;&gt;"",报价计算表!$G$8,"")</f>
        <v>20276.394288413681</v>
      </c>
      <c r="E75" s="79">
        <f t="shared" si="6"/>
        <v>20142.113531536743</v>
      </c>
      <c r="F75" s="79">
        <f t="shared" si="1"/>
        <v>134.28075687693806</v>
      </c>
      <c r="G75" s="80">
        <f t="shared" si="2"/>
        <v>0</v>
      </c>
      <c r="H75" s="60">
        <f t="shared" si="4"/>
        <v>20142.113531536768</v>
      </c>
      <c r="I75" s="60">
        <f>IF(C75&lt;&gt;"",(报价计算表!$E$4-SUM(还款计划表!$H$16:H74))*报价计算表!$D$6/VLOOKUP(报价计算表!$D$8,参数范围!$K$3:$L$10,2,0),"")</f>
        <v>134.28075687691259</v>
      </c>
      <c r="J75" s="60">
        <f t="shared" si="5"/>
        <v>-2.5465851649641991E-11</v>
      </c>
    </row>
    <row r="76" spans="1:10" ht="15.75">
      <c r="A76" s="59"/>
      <c r="B76" s="81" t="str">
        <f>IF(C76&lt;&gt;"",IF(C76&lt;&gt;$B$8,DATE(YEAR(B75),MONTH(B75)+VLOOKUP($E$8,参数范围!$K$3:$M$7,3,0),DAY(B75)),DATE(YEAR(B75),MONTH(B75)++VLOOKUP($E$8,参数范围!$K$3:$M$7,3,0),DAY($E$3))),"")</f>
        <v/>
      </c>
      <c r="C76" s="77" t="str">
        <f t="shared" si="3"/>
        <v/>
      </c>
      <c r="D76" s="78" t="str">
        <f>IF(C76&lt;&gt;"",报价计算表!$G$8,"")</f>
        <v/>
      </c>
      <c r="E76" s="79" t="str">
        <f t="shared" si="6"/>
        <v/>
      </c>
      <c r="F76" s="79" t="str">
        <f t="shared" si="1"/>
        <v/>
      </c>
      <c r="G76" s="80" t="str">
        <f t="shared" si="2"/>
        <v/>
      </c>
      <c r="H76" s="60" t="str">
        <f t="shared" si="4"/>
        <v/>
      </c>
      <c r="I76" s="60" t="str">
        <f>IF(C76&lt;&gt;"",(报价计算表!$E$4-SUM(还款计划表!$H$16:H75))*报价计算表!$D$6/VLOOKUP(报价计算表!$D$8,参数范围!$K$3:$L$10,2,0),"")</f>
        <v/>
      </c>
      <c r="J76" s="60" t="str">
        <f t="shared" si="5"/>
        <v/>
      </c>
    </row>
    <row r="77" spans="1:10" ht="15.75">
      <c r="A77" s="59"/>
      <c r="B77" s="81" t="str">
        <f>IF(C77&lt;&gt;"",IF(C77&lt;&gt;$B$8,DATE(YEAR(B76),MONTH(B76)+VLOOKUP($E$8,参数范围!$K$3:$M$7,3,0),DAY(B76)),DATE(YEAR(B76),MONTH(B76)++VLOOKUP($E$8,参数范围!$K$3:$M$7,3,0),DAY($E$3))),"")</f>
        <v/>
      </c>
      <c r="C77" s="77" t="str">
        <f t="shared" si="3"/>
        <v/>
      </c>
      <c r="D77" s="78" t="str">
        <f>IF(C77&lt;&gt;"",报价计算表!$G$8,"")</f>
        <v/>
      </c>
      <c r="E77" s="79" t="str">
        <f t="shared" ref="E77:E86" si="7">IF(C77&lt;&gt;$B$8,H77,D77-F77)</f>
        <v/>
      </c>
      <c r="F77" s="79" t="str">
        <f t="shared" ref="F77:F86" si="8">IF(C77&lt;&gt;$B$8,I77,I77-J77)</f>
        <v/>
      </c>
      <c r="G77" s="80" t="str">
        <f t="shared" ref="G77:G86" si="9">IF(C77&lt;&gt;$B$8,J77,0)</f>
        <v/>
      </c>
      <c r="H77" s="60" t="str">
        <f t="shared" ref="H77:H87" si="10">IF(C77&lt;&gt;"",D77-I77,"")</f>
        <v/>
      </c>
      <c r="I77" s="60" t="str">
        <f>IF(C77&lt;&gt;"",(报价计算表!$E$4-SUM(还款计划表!$H$16:H76))*报价计算表!$D$6/VLOOKUP(报价计算表!$D$8,参数范围!$K$3:$L$10,2,0),"")</f>
        <v/>
      </c>
      <c r="J77" s="60" t="str">
        <f t="shared" ref="J77:J87" si="11">IF(C77&lt;&gt;"",J76-H77,"")</f>
        <v/>
      </c>
    </row>
    <row r="78" spans="1:10" ht="15.75">
      <c r="A78" s="59"/>
      <c r="B78" s="81" t="str">
        <f>IF(C78&lt;&gt;"",IF(C78&lt;&gt;$B$8,DATE(YEAR(B77),MONTH(B77)+VLOOKUP($E$8,参数范围!$K$3:$M$7,3,0),DAY(B77)),DATE(YEAR(B77),MONTH(B77)++VLOOKUP($E$8,参数范围!$K$3:$M$7,3,0),DAY($E$3))),"")</f>
        <v/>
      </c>
      <c r="C78" s="77" t="str">
        <f t="shared" si="3"/>
        <v/>
      </c>
      <c r="D78" s="78" t="str">
        <f>IF(C78&lt;&gt;"",报价计算表!$G$8,"")</f>
        <v/>
      </c>
      <c r="E78" s="79" t="str">
        <f t="shared" si="7"/>
        <v/>
      </c>
      <c r="F78" s="79" t="str">
        <f t="shared" si="8"/>
        <v/>
      </c>
      <c r="G78" s="80" t="str">
        <f t="shared" si="9"/>
        <v/>
      </c>
      <c r="H78" s="60" t="str">
        <f t="shared" si="10"/>
        <v/>
      </c>
      <c r="I78" s="60" t="str">
        <f>IF(C78&lt;&gt;"",(报价计算表!$E$4-SUM(还款计划表!$H$16:H77))*报价计算表!$D$6/VLOOKUP(报价计算表!$D$8,参数范围!$K$3:$L$10,2,0),"")</f>
        <v/>
      </c>
      <c r="J78" s="60" t="str">
        <f t="shared" si="11"/>
        <v/>
      </c>
    </row>
    <row r="79" spans="1:10" ht="15.75">
      <c r="A79" s="59"/>
      <c r="B79" s="81" t="str">
        <f>IF(C79&lt;&gt;"",IF(C79&lt;&gt;$B$8,DATE(YEAR(B78),MONTH(B78)+VLOOKUP($E$8,参数范围!$K$3:$M$7,3,0),DAY(B78)),DATE(YEAR(B78),MONTH(B78)++VLOOKUP($E$8,参数范围!$K$3:$M$7,3,0),DAY($E$3))),"")</f>
        <v/>
      </c>
      <c r="C79" s="77" t="str">
        <f t="shared" si="3"/>
        <v/>
      </c>
      <c r="D79" s="78" t="str">
        <f>IF(C79&lt;&gt;"",报价计算表!$G$8,"")</f>
        <v/>
      </c>
      <c r="E79" s="79" t="str">
        <f t="shared" si="7"/>
        <v/>
      </c>
      <c r="F79" s="79" t="str">
        <f t="shared" si="8"/>
        <v/>
      </c>
      <c r="G79" s="80" t="str">
        <f t="shared" si="9"/>
        <v/>
      </c>
      <c r="H79" s="60" t="str">
        <f t="shared" si="10"/>
        <v/>
      </c>
      <c r="I79" s="60" t="str">
        <f>IF(C79&lt;&gt;"",(报价计算表!$E$4-SUM(还款计划表!$H$16:H78))*报价计算表!$D$6/VLOOKUP(报价计算表!$D$8,参数范围!$K$3:$L$10,2,0),"")</f>
        <v/>
      </c>
      <c r="J79" s="60" t="str">
        <f t="shared" si="11"/>
        <v/>
      </c>
    </row>
    <row r="80" spans="1:10" ht="15.75">
      <c r="A80" s="59"/>
      <c r="B80" s="81" t="str">
        <f>IF(C80&lt;&gt;"",IF(C80&lt;&gt;$B$8,DATE(YEAR(B79),MONTH(B79)+VLOOKUP($E$8,参数范围!$K$3:$M$7,3,0),DAY(B79)),DATE(YEAR(B79),MONTH(B79)++VLOOKUP($E$8,参数范围!$K$3:$M$7,3,0),DAY($E$3))),"")</f>
        <v/>
      </c>
      <c r="C80" s="77" t="str">
        <f t="shared" si="3"/>
        <v/>
      </c>
      <c r="D80" s="78" t="str">
        <f>IF(C80&lt;&gt;"",报价计算表!$G$8,"")</f>
        <v/>
      </c>
      <c r="E80" s="79" t="str">
        <f t="shared" si="7"/>
        <v/>
      </c>
      <c r="F80" s="79" t="str">
        <f t="shared" si="8"/>
        <v/>
      </c>
      <c r="G80" s="80" t="str">
        <f t="shared" si="9"/>
        <v/>
      </c>
      <c r="H80" s="60" t="str">
        <f t="shared" si="10"/>
        <v/>
      </c>
      <c r="I80" s="60" t="str">
        <f>IF(C80&lt;&gt;"",(报价计算表!$E$4-SUM(还款计划表!$H$16:H79))*报价计算表!$D$6/VLOOKUP(报价计算表!$D$8,参数范围!$K$3:$L$10,2,0),"")</f>
        <v/>
      </c>
      <c r="J80" s="60" t="str">
        <f t="shared" si="11"/>
        <v/>
      </c>
    </row>
    <row r="81" spans="1:10" ht="15.75">
      <c r="A81" s="59"/>
      <c r="B81" s="81" t="str">
        <f>IF(C81&lt;&gt;"",IF(C81&lt;&gt;$B$8,DATE(YEAR(B80),MONTH(B80)+VLOOKUP($E$8,参数范围!$K$3:$M$7,3,0),DAY(B80)),DATE(YEAR(B80),MONTH(B80)++VLOOKUP($E$8,参数范围!$K$3:$M$7,3,0),DAY($E$3))),"")</f>
        <v/>
      </c>
      <c r="C81" s="77" t="str">
        <f t="shared" ref="C81:C87" si="12">IF(C80&lt;$B$8,C80+1,"")</f>
        <v/>
      </c>
      <c r="D81" s="78" t="str">
        <f>IF(C81&lt;&gt;"",报价计算表!$G$8,"")</f>
        <v/>
      </c>
      <c r="E81" s="79" t="str">
        <f t="shared" si="7"/>
        <v/>
      </c>
      <c r="F81" s="79" t="str">
        <f t="shared" si="8"/>
        <v/>
      </c>
      <c r="G81" s="80" t="str">
        <f t="shared" si="9"/>
        <v/>
      </c>
      <c r="H81" s="60" t="str">
        <f t="shared" si="10"/>
        <v/>
      </c>
      <c r="I81" s="60" t="str">
        <f>IF(C81&lt;&gt;"",(报价计算表!$E$4-SUM(还款计划表!$H$16:H80))*报价计算表!$D$6/VLOOKUP(报价计算表!$D$8,参数范围!$K$3:$L$10,2,0),"")</f>
        <v/>
      </c>
      <c r="J81" s="60" t="str">
        <f t="shared" si="11"/>
        <v/>
      </c>
    </row>
    <row r="82" spans="1:10" ht="15.75">
      <c r="A82" s="59"/>
      <c r="B82" s="81" t="str">
        <f>IF(C82&lt;&gt;"",IF(C82&lt;&gt;$B$8,DATE(YEAR(B81),MONTH(B81)+VLOOKUP($E$8,参数范围!$K$3:$M$7,3,0),DAY(B81)),DATE(YEAR(B81),MONTH(B81)++VLOOKUP($E$8,参数范围!$K$3:$M$7,3,0),DAY($E$3))),"")</f>
        <v/>
      </c>
      <c r="C82" s="77" t="str">
        <f t="shared" si="12"/>
        <v/>
      </c>
      <c r="D82" s="78" t="str">
        <f>IF(C82&lt;&gt;"",报价计算表!$G$8,"")</f>
        <v/>
      </c>
      <c r="E82" s="79" t="str">
        <f t="shared" si="7"/>
        <v/>
      </c>
      <c r="F82" s="79" t="str">
        <f t="shared" si="8"/>
        <v/>
      </c>
      <c r="G82" s="80" t="str">
        <f t="shared" si="9"/>
        <v/>
      </c>
      <c r="H82" s="60" t="str">
        <f t="shared" si="10"/>
        <v/>
      </c>
      <c r="I82" s="60" t="str">
        <f>IF(C82&lt;&gt;"",(报价计算表!$E$4-SUM(还款计划表!$H$16:H81))*报价计算表!$D$6/VLOOKUP(报价计算表!$D$8,参数范围!$K$3:$L$10,2,0),"")</f>
        <v/>
      </c>
      <c r="J82" s="60" t="str">
        <f t="shared" si="11"/>
        <v/>
      </c>
    </row>
    <row r="83" spans="1:10" ht="15.75">
      <c r="A83" s="59"/>
      <c r="B83" s="81" t="str">
        <f>IF(C83&lt;&gt;"",IF(C83&lt;&gt;$B$8,DATE(YEAR(B82),MONTH(B82)+VLOOKUP($E$8,参数范围!$K$3:$M$7,3,0),DAY(B82)),DATE(YEAR(B82),MONTH(B82)++VLOOKUP($E$8,参数范围!$K$3:$M$7,3,0),DAY($E$3))),"")</f>
        <v/>
      </c>
      <c r="C83" s="77" t="str">
        <f t="shared" si="12"/>
        <v/>
      </c>
      <c r="D83" s="78" t="str">
        <f>IF(C83&lt;&gt;"",报价计算表!$G$8,"")</f>
        <v/>
      </c>
      <c r="E83" s="79" t="str">
        <f t="shared" si="7"/>
        <v/>
      </c>
      <c r="F83" s="79" t="str">
        <f t="shared" si="8"/>
        <v/>
      </c>
      <c r="G83" s="80" t="str">
        <f t="shared" si="9"/>
        <v/>
      </c>
      <c r="H83" s="60" t="str">
        <f t="shared" si="10"/>
        <v/>
      </c>
      <c r="I83" s="60" t="str">
        <f>IF(C83&lt;&gt;"",(报价计算表!$E$4-SUM(还款计划表!$H$16:H82))*报价计算表!$D$6/VLOOKUP(报价计算表!$D$8,参数范围!$K$3:$L$10,2,0),"")</f>
        <v/>
      </c>
      <c r="J83" s="60" t="str">
        <f t="shared" si="11"/>
        <v/>
      </c>
    </row>
    <row r="84" spans="1:10" ht="15.75">
      <c r="A84" s="59"/>
      <c r="B84" s="81" t="str">
        <f>IF(C84&lt;&gt;"",IF(C84&lt;&gt;$B$8,DATE(YEAR(B83),MONTH(B83)+VLOOKUP($E$8,参数范围!$K$3:$M$7,3,0),DAY(B83)),DATE(YEAR(B83),MONTH(B83)++VLOOKUP($E$8,参数范围!$K$3:$M$7,3,0),DAY($E$3))),"")</f>
        <v/>
      </c>
      <c r="C84" s="77" t="str">
        <f t="shared" si="12"/>
        <v/>
      </c>
      <c r="D84" s="78" t="str">
        <f>IF(C84&lt;&gt;"",报价计算表!$G$8,"")</f>
        <v/>
      </c>
      <c r="E84" s="79" t="str">
        <f t="shared" si="7"/>
        <v/>
      </c>
      <c r="F84" s="79" t="str">
        <f t="shared" si="8"/>
        <v/>
      </c>
      <c r="G84" s="80" t="str">
        <f t="shared" si="9"/>
        <v/>
      </c>
      <c r="H84" s="60" t="str">
        <f t="shared" si="10"/>
        <v/>
      </c>
      <c r="I84" s="60" t="str">
        <f>IF(C84&lt;&gt;"",(报价计算表!$E$4-SUM(还款计划表!$H$16:H83))*报价计算表!$D$6/VLOOKUP(报价计算表!$D$8,参数范围!$K$3:$L$10,2,0),"")</f>
        <v/>
      </c>
      <c r="J84" s="60" t="str">
        <f t="shared" si="11"/>
        <v/>
      </c>
    </row>
    <row r="85" spans="1:10" ht="15.75">
      <c r="A85" s="59"/>
      <c r="B85" s="81" t="str">
        <f>IF(C85&lt;&gt;"",IF(C85&lt;&gt;$B$8,DATE(YEAR(B84),MONTH(B84)+VLOOKUP($E$8,参数范围!$K$3:$M$7,3,0),DAY(B84)),DATE(YEAR(B84),MONTH(B84)++VLOOKUP($E$8,参数范围!$K$3:$M$7,3,0),DAY($E$3))),"")</f>
        <v/>
      </c>
      <c r="C85" s="77" t="str">
        <f t="shared" si="12"/>
        <v/>
      </c>
      <c r="D85" s="78" t="str">
        <f>IF(C85&lt;&gt;"",报价计算表!$G$8,"")</f>
        <v/>
      </c>
      <c r="E85" s="79" t="str">
        <f t="shared" si="7"/>
        <v/>
      </c>
      <c r="F85" s="79" t="str">
        <f t="shared" si="8"/>
        <v/>
      </c>
      <c r="G85" s="80" t="str">
        <f t="shared" si="9"/>
        <v/>
      </c>
      <c r="H85" s="60" t="str">
        <f t="shared" si="10"/>
        <v/>
      </c>
      <c r="I85" s="60" t="str">
        <f>IF(C85&lt;&gt;"",(报价计算表!$E$4-SUM(还款计划表!$H$16:H84))*报价计算表!$D$6/VLOOKUP(报价计算表!$D$8,参数范围!$K$3:$L$10,2,0),"")</f>
        <v/>
      </c>
      <c r="J85" s="60" t="str">
        <f t="shared" si="11"/>
        <v/>
      </c>
    </row>
    <row r="86" spans="1:10" ht="15.75">
      <c r="A86" s="59"/>
      <c r="B86" s="81" t="str">
        <f>IF(C86&lt;&gt;"",IF(C86&lt;&gt;$B$8,DATE(YEAR(B85),MONTH(B85)+VLOOKUP($E$8,参数范围!$K$3:$M$7,3,0),DAY(B85)),DATE(YEAR(B85),MONTH(B85)++VLOOKUP($E$8,参数范围!$K$3:$M$7,3,0),DAY($E$3))),"")</f>
        <v/>
      </c>
      <c r="C86" s="77" t="str">
        <f t="shared" si="12"/>
        <v/>
      </c>
      <c r="D86" s="78" t="str">
        <f>IF(C86&lt;&gt;"",报价计算表!$G$8,"")</f>
        <v/>
      </c>
      <c r="E86" s="79" t="str">
        <f t="shared" si="7"/>
        <v/>
      </c>
      <c r="F86" s="79" t="str">
        <f t="shared" si="8"/>
        <v/>
      </c>
      <c r="G86" s="80" t="str">
        <f t="shared" si="9"/>
        <v/>
      </c>
      <c r="H86" s="60" t="str">
        <f t="shared" si="10"/>
        <v/>
      </c>
      <c r="I86" s="60" t="str">
        <f>IF(C86&lt;&gt;"",(报价计算表!$E$4-SUM(还款计划表!$H$16:H85))*报价计算表!$D$6/VLOOKUP(报价计算表!$D$8,参数范围!$K$3:$L$10,2,0),"")</f>
        <v/>
      </c>
      <c r="J86" s="60" t="str">
        <f t="shared" si="11"/>
        <v/>
      </c>
    </row>
    <row r="87" spans="1:10" ht="15.75">
      <c r="A87" s="59"/>
      <c r="B87" s="81" t="str">
        <f>IF(C87&lt;&gt;"",IF(C87&lt;&gt;$B$8,DATE(YEAR(B86),MONTH(B86)+VLOOKUP($E$8,参数范围!$K$3:$M$7,3,0),DAY(B86)),DATE(YEAR(B86),MONTH(B86)++VLOOKUP($E$8,参数范围!$K$3:$M$7,3,0),DAY($E$3))),"")</f>
        <v/>
      </c>
      <c r="C87" s="77" t="str">
        <f t="shared" si="12"/>
        <v/>
      </c>
      <c r="D87" s="78" t="str">
        <f>IF(C87&lt;&gt;"",报价计算表!$G$8,"")</f>
        <v/>
      </c>
      <c r="E87" s="79" t="str">
        <f t="shared" ref="E87" si="13">IF(C87&lt;&gt;$B$8,H87,D87-F87)</f>
        <v/>
      </c>
      <c r="F87" s="79" t="str">
        <f t="shared" ref="F87" si="14">IF(C87&lt;&gt;$B$8,I87,I87-J87)</f>
        <v/>
      </c>
      <c r="G87" s="80" t="str">
        <f t="shared" ref="G87" si="15">IF(C87&lt;&gt;$B$8,J87,0)</f>
        <v/>
      </c>
      <c r="H87" s="60" t="str">
        <f t="shared" si="10"/>
        <v/>
      </c>
      <c r="I87" s="60" t="str">
        <f>IF(C87&lt;&gt;"",(报价计算表!$E$4-SUM(还款计划表!$H$16:H86))*报价计算表!$D$6/VLOOKUP(报价计算表!$D$8,参数范围!$K$3:$L$10,2,0),"")</f>
        <v/>
      </c>
      <c r="J87" s="60" t="str">
        <f t="shared" si="11"/>
        <v/>
      </c>
    </row>
    <row r="88" spans="1:10">
      <c r="A88" s="61"/>
      <c r="B88" s="61"/>
      <c r="C88" s="61"/>
      <c r="D88" s="61"/>
      <c r="E88" s="61"/>
      <c r="F88" s="61"/>
      <c r="G88" s="114"/>
      <c r="H88" s="62"/>
      <c r="I88" s="62"/>
      <c r="J88" s="62"/>
    </row>
  </sheetData>
  <protectedRanges>
    <protectedRange password="CC3D" sqref="E3" name="区域1_1"/>
  </protectedRanges>
  <mergeCells count="1">
    <mergeCell ref="B2:E2"/>
  </mergeCells>
  <phoneticPr fontId="3" type="noConversion"/>
  <conditionalFormatting sqref="B9">
    <cfRule type="cellIs" dxfId="1" priority="1" stopIfTrue="1" operator="equal">
      <formula>"right"</formula>
    </cfRule>
    <cfRule type="cellIs" dxfId="0" priority="2" stopIfTrue="1" operator="equal">
      <formula>"error"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workbookViewId="0">
      <selection activeCell="C13" sqref="C13"/>
    </sheetView>
  </sheetViews>
  <sheetFormatPr defaultRowHeight="13.5"/>
  <cols>
    <col min="1" max="1" width="13.625" customWidth="1"/>
  </cols>
  <sheetData>
    <row r="3" spans="1:2" ht="14.25" thickBot="1"/>
    <row r="4" spans="1:2" ht="15" thickTop="1">
      <c r="A4" s="30" t="s">
        <v>37</v>
      </c>
      <c r="B4" s="28" t="s">
        <v>32</v>
      </c>
    </row>
    <row r="5" spans="1:2" ht="15" thickBot="1">
      <c r="A5" s="31">
        <f>报价计算表!E4*(1-报价计算表!E6)</f>
        <v>900000</v>
      </c>
      <c r="B5" s="34">
        <v>3.1665968782701906E-2</v>
      </c>
    </row>
    <row r="6" spans="1:2" ht="15.75" thickTop="1" thickBot="1">
      <c r="A6" s="29"/>
    </row>
    <row r="7" spans="1:2" ht="15" thickTop="1">
      <c r="A7" s="30" t="s">
        <v>38</v>
      </c>
    </row>
    <row r="8" spans="1:2" ht="15" thickBot="1">
      <c r="A8" s="32"/>
    </row>
    <row r="9" spans="1:2" ht="14.25" thickTop="1"/>
    <row r="11" spans="1:2">
      <c r="A11" s="33">
        <f>A5-A8</f>
        <v>900000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showGridLines="0" workbookViewId="0">
      <selection activeCell="C17" sqref="C17"/>
    </sheetView>
  </sheetViews>
  <sheetFormatPr defaultRowHeight="12"/>
  <cols>
    <col min="1" max="1" width="15.125" style="6" bestFit="1" customWidth="1"/>
    <col min="2" max="2" width="13.375" style="6" customWidth="1"/>
    <col min="3" max="3" width="15.125" style="6" bestFit="1" customWidth="1"/>
    <col min="4" max="4" width="13" style="6" bestFit="1" customWidth="1"/>
    <col min="5" max="5" width="16.125" style="6" customWidth="1"/>
    <col min="6" max="6" width="9" style="6"/>
    <col min="7" max="7" width="23.25" style="6" customWidth="1"/>
    <col min="8" max="8" width="12.75" style="6" customWidth="1"/>
    <col min="9" max="9" width="13.375" style="17" customWidth="1"/>
    <col min="10" max="10" width="9" style="6"/>
    <col min="11" max="12" width="17.125" style="6" customWidth="1"/>
    <col min="13" max="14" width="13.75" style="6" customWidth="1"/>
    <col min="15" max="16384" width="9" style="6"/>
  </cols>
  <sheetData>
    <row r="1" spans="1:14" ht="12.75" thickBot="1"/>
    <row r="2" spans="1:14" s="16" customFormat="1" ht="33.75" customHeight="1" thickTop="1">
      <c r="A2" s="13" t="s">
        <v>9</v>
      </c>
      <c r="B2" s="14" t="s">
        <v>10</v>
      </c>
      <c r="C2" s="14" t="s">
        <v>14</v>
      </c>
      <c r="D2" s="14" t="s">
        <v>16</v>
      </c>
      <c r="E2" s="15" t="s">
        <v>23</v>
      </c>
      <c r="G2" s="150" t="s">
        <v>27</v>
      </c>
      <c r="H2" s="151"/>
      <c r="I2" s="152"/>
      <c r="K2" s="15" t="s">
        <v>16</v>
      </c>
      <c r="L2" s="15" t="s">
        <v>31</v>
      </c>
      <c r="M2" s="15" t="s">
        <v>33</v>
      </c>
      <c r="N2" s="15" t="s">
        <v>34</v>
      </c>
    </row>
    <row r="3" spans="1:14" ht="16.5" customHeight="1">
      <c r="A3" s="7">
        <v>24</v>
      </c>
      <c r="B3" s="8" t="s">
        <v>11</v>
      </c>
      <c r="C3" s="8" t="s">
        <v>88</v>
      </c>
      <c r="D3" s="8" t="s">
        <v>17</v>
      </c>
      <c r="E3" s="9">
        <v>0</v>
      </c>
      <c r="G3" s="8" t="s">
        <v>28</v>
      </c>
      <c r="H3" s="8"/>
      <c r="I3" s="20">
        <v>0.08</v>
      </c>
      <c r="K3" s="9" t="s">
        <v>17</v>
      </c>
      <c r="L3" s="9">
        <v>12</v>
      </c>
      <c r="M3" s="9">
        <v>1</v>
      </c>
      <c r="N3" s="9">
        <v>30</v>
      </c>
    </row>
    <row r="4" spans="1:14" ht="16.5" customHeight="1">
      <c r="A4" s="7">
        <v>36</v>
      </c>
      <c r="B4" s="8" t="s">
        <v>12</v>
      </c>
      <c r="C4" s="8" t="s">
        <v>15</v>
      </c>
      <c r="D4" s="8" t="s">
        <v>18</v>
      </c>
      <c r="E4" s="9">
        <v>1</v>
      </c>
      <c r="G4" s="8" t="s">
        <v>52</v>
      </c>
      <c r="H4" s="37" t="s">
        <v>46</v>
      </c>
      <c r="I4" s="18">
        <v>0.06</v>
      </c>
      <c r="K4" s="9" t="s">
        <v>18</v>
      </c>
      <c r="L4" s="9">
        <v>6</v>
      </c>
      <c r="M4" s="9">
        <v>2</v>
      </c>
      <c r="N4" s="9">
        <f>M4*$N$3</f>
        <v>60</v>
      </c>
    </row>
    <row r="5" spans="1:14" ht="16.5" customHeight="1">
      <c r="A5" s="7">
        <v>48</v>
      </c>
      <c r="B5" s="8" t="s">
        <v>13</v>
      </c>
      <c r="C5" s="8" t="s">
        <v>87</v>
      </c>
      <c r="D5" s="8" t="s">
        <v>19</v>
      </c>
      <c r="E5" s="9"/>
      <c r="G5" s="8" t="s">
        <v>53</v>
      </c>
      <c r="H5" s="38" t="s">
        <v>47</v>
      </c>
      <c r="I5" s="18">
        <v>5.6000000000000001E-2</v>
      </c>
      <c r="K5" s="9" t="s">
        <v>19</v>
      </c>
      <c r="L5" s="9">
        <v>4</v>
      </c>
      <c r="M5" s="9">
        <v>3</v>
      </c>
      <c r="N5" s="9">
        <f t="shared" ref="N5:N7" si="0">M5*$N$3</f>
        <v>90</v>
      </c>
    </row>
    <row r="6" spans="1:14" ht="16.5" customHeight="1">
      <c r="A6" s="7">
        <v>60</v>
      </c>
      <c r="B6" s="8"/>
      <c r="C6" s="8"/>
      <c r="D6" s="8" t="s">
        <v>20</v>
      </c>
      <c r="E6" s="9"/>
      <c r="G6" s="8" t="s">
        <v>54</v>
      </c>
      <c r="H6" s="37" t="s">
        <v>48</v>
      </c>
      <c r="I6" s="18">
        <v>6.1499999999999999E-2</v>
      </c>
      <c r="K6" s="9" t="s">
        <v>20</v>
      </c>
      <c r="L6" s="9">
        <v>2</v>
      </c>
      <c r="M6" s="9">
        <v>6</v>
      </c>
      <c r="N6" s="9">
        <f t="shared" si="0"/>
        <v>180</v>
      </c>
    </row>
    <row r="7" spans="1:14" ht="16.5" customHeight="1">
      <c r="A7" s="7">
        <v>72</v>
      </c>
      <c r="B7" s="8"/>
      <c r="C7" s="8"/>
      <c r="D7" s="8" t="s">
        <v>21</v>
      </c>
      <c r="E7" s="9"/>
      <c r="G7" s="8" t="s">
        <v>55</v>
      </c>
      <c r="H7" s="37" t="s">
        <v>49</v>
      </c>
      <c r="I7" s="18">
        <v>6.4000000000000001E-2</v>
      </c>
      <c r="K7" s="9" t="s">
        <v>21</v>
      </c>
      <c r="L7" s="9">
        <v>1</v>
      </c>
      <c r="M7" s="9">
        <v>12</v>
      </c>
      <c r="N7" s="9">
        <f t="shared" si="0"/>
        <v>360</v>
      </c>
    </row>
    <row r="8" spans="1:14" ht="16.5" customHeight="1">
      <c r="A8" s="7"/>
      <c r="B8" s="8"/>
      <c r="C8" s="8"/>
      <c r="D8" s="8"/>
      <c r="E8" s="9"/>
      <c r="G8" s="8" t="s">
        <v>50</v>
      </c>
      <c r="H8" s="37" t="s">
        <v>51</v>
      </c>
      <c r="I8" s="18">
        <v>6.5500000000000003E-2</v>
      </c>
      <c r="K8" s="9"/>
      <c r="L8" s="9"/>
      <c r="M8" s="9"/>
      <c r="N8" s="9"/>
    </row>
    <row r="9" spans="1:14" ht="16.5" customHeight="1">
      <c r="A9" s="7"/>
      <c r="B9" s="8"/>
      <c r="C9" s="8"/>
      <c r="D9" s="8"/>
      <c r="E9" s="9"/>
      <c r="G9" s="8"/>
      <c r="H9" s="8"/>
      <c r="I9" s="18"/>
      <c r="K9" s="9"/>
      <c r="L9" s="9"/>
      <c r="M9" s="9"/>
      <c r="N9" s="9"/>
    </row>
    <row r="10" spans="1:14" ht="16.5" customHeight="1">
      <c r="A10" s="7"/>
      <c r="B10" s="8"/>
      <c r="C10" s="8"/>
      <c r="D10" s="8"/>
      <c r="E10" s="9"/>
      <c r="G10" s="8"/>
      <c r="H10" s="8"/>
      <c r="I10" s="18"/>
      <c r="K10" s="9"/>
      <c r="L10" s="9"/>
      <c r="M10" s="9"/>
      <c r="N10" s="9"/>
    </row>
    <row r="11" spans="1:14" ht="16.5" customHeight="1">
      <c r="A11" s="7"/>
      <c r="B11" s="8"/>
      <c r="C11" s="8"/>
      <c r="D11" s="8"/>
      <c r="E11" s="9"/>
      <c r="G11" s="8"/>
      <c r="H11" s="8"/>
      <c r="I11" s="18"/>
      <c r="K11" s="9"/>
      <c r="L11" s="9"/>
      <c r="M11" s="9"/>
      <c r="N11" s="9"/>
    </row>
    <row r="12" spans="1:14" ht="16.5" customHeight="1">
      <c r="A12" s="7"/>
      <c r="B12" s="8"/>
      <c r="C12" s="8"/>
      <c r="D12" s="8"/>
      <c r="E12" s="9"/>
      <c r="G12" s="8"/>
      <c r="H12" s="8"/>
      <c r="I12" s="18"/>
      <c r="K12" s="9"/>
      <c r="L12" s="9"/>
      <c r="M12" s="9"/>
      <c r="N12" s="9"/>
    </row>
    <row r="13" spans="1:14" ht="16.5" customHeight="1">
      <c r="A13" s="7"/>
      <c r="B13" s="8"/>
      <c r="C13" s="8"/>
      <c r="D13" s="8"/>
      <c r="E13" s="9"/>
      <c r="G13" s="8"/>
      <c r="H13" s="8"/>
      <c r="I13" s="18"/>
      <c r="K13" s="9"/>
      <c r="L13" s="9"/>
      <c r="M13" s="9"/>
      <c r="N13" s="9"/>
    </row>
    <row r="14" spans="1:14" ht="16.5" customHeight="1">
      <c r="A14" s="7"/>
      <c r="B14" s="8"/>
      <c r="C14" s="8"/>
      <c r="D14" s="8"/>
      <c r="E14" s="9"/>
      <c r="G14" s="8"/>
      <c r="H14" s="8"/>
      <c r="I14" s="18"/>
      <c r="K14" s="9"/>
      <c r="L14" s="9"/>
      <c r="M14" s="9"/>
      <c r="N14" s="9"/>
    </row>
    <row r="15" spans="1:14" ht="16.5" customHeight="1">
      <c r="A15" s="7"/>
      <c r="B15" s="8"/>
      <c r="C15" s="8"/>
      <c r="D15" s="8"/>
      <c r="E15" s="9"/>
      <c r="G15" s="8"/>
      <c r="H15" s="8"/>
      <c r="I15" s="18"/>
      <c r="K15" s="9"/>
      <c r="L15" s="9"/>
      <c r="M15" s="9"/>
      <c r="N15" s="9"/>
    </row>
    <row r="16" spans="1:14" ht="16.5" customHeight="1">
      <c r="A16" s="7"/>
      <c r="B16" s="8"/>
      <c r="C16" s="8"/>
      <c r="D16" s="8"/>
      <c r="E16" s="9"/>
      <c r="G16" s="8"/>
      <c r="H16" s="8"/>
      <c r="I16" s="18"/>
      <c r="K16" s="9"/>
      <c r="L16" s="9"/>
      <c r="M16" s="9"/>
      <c r="N16" s="9"/>
    </row>
    <row r="17" spans="1:14" ht="16.5" customHeight="1">
      <c r="A17" s="7"/>
      <c r="B17" s="8"/>
      <c r="C17" s="8"/>
      <c r="D17" s="8"/>
      <c r="E17" s="9"/>
      <c r="G17" s="8"/>
      <c r="H17" s="8"/>
      <c r="I17" s="18"/>
      <c r="K17" s="9"/>
      <c r="L17" s="9"/>
      <c r="M17" s="9"/>
      <c r="N17" s="9"/>
    </row>
    <row r="18" spans="1:14" ht="16.5" customHeight="1">
      <c r="A18" s="7"/>
      <c r="B18" s="8"/>
      <c r="C18" s="8"/>
      <c r="D18" s="8"/>
      <c r="E18" s="9"/>
      <c r="G18" s="8"/>
      <c r="H18" s="8"/>
      <c r="I18" s="18"/>
      <c r="K18" s="9"/>
      <c r="L18" s="9"/>
      <c r="M18" s="9"/>
      <c r="N18" s="9"/>
    </row>
    <row r="19" spans="1:14" ht="16.5" customHeight="1">
      <c r="A19" s="7"/>
      <c r="B19" s="8"/>
      <c r="C19" s="8"/>
      <c r="D19" s="8"/>
      <c r="E19" s="9"/>
      <c r="G19" s="8"/>
      <c r="H19" s="8"/>
      <c r="I19" s="18"/>
      <c r="K19" s="9"/>
      <c r="L19" s="9"/>
      <c r="M19" s="9"/>
      <c r="N19" s="9"/>
    </row>
    <row r="20" spans="1:14" ht="16.5" customHeight="1" thickBot="1">
      <c r="A20" s="10"/>
      <c r="B20" s="11"/>
      <c r="C20" s="11"/>
      <c r="D20" s="11"/>
      <c r="E20" s="12"/>
      <c r="G20" s="11"/>
      <c r="H20" s="11"/>
      <c r="I20" s="19"/>
      <c r="K20" s="12"/>
      <c r="L20" s="12"/>
      <c r="M20" s="12"/>
      <c r="N20" s="12"/>
    </row>
    <row r="21" spans="1:14" ht="12.75" thickTop="1"/>
    <row r="23" spans="1:14" ht="15">
      <c r="G23" s="35" t="s">
        <v>39</v>
      </c>
      <c r="H23" s="35"/>
      <c r="I23" s="35" t="s">
        <v>40</v>
      </c>
    </row>
    <row r="24" spans="1:14">
      <c r="G24" s="36" t="s">
        <v>41</v>
      </c>
      <c r="H24" s="36"/>
      <c r="I24" s="36">
        <v>5.6</v>
      </c>
    </row>
    <row r="25" spans="1:14">
      <c r="G25" s="36" t="s">
        <v>42</v>
      </c>
      <c r="H25" s="36"/>
      <c r="I25" s="36">
        <v>6</v>
      </c>
    </row>
    <row r="26" spans="1:14">
      <c r="G26" s="36" t="s">
        <v>43</v>
      </c>
      <c r="H26" s="36"/>
      <c r="I26" s="36">
        <v>6.15</v>
      </c>
    </row>
    <row r="27" spans="1:14">
      <c r="G27" s="36" t="s">
        <v>44</v>
      </c>
      <c r="H27" s="36"/>
      <c r="I27" s="36">
        <v>6.4</v>
      </c>
    </row>
    <row r="28" spans="1:14">
      <c r="G28" s="36" t="s">
        <v>45</v>
      </c>
      <c r="H28" s="36"/>
      <c r="I28" s="36">
        <v>6.55</v>
      </c>
    </row>
  </sheetData>
  <mergeCells count="1">
    <mergeCell ref="G2:I2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F4" sqref="F4"/>
    </sheetView>
  </sheetViews>
  <sheetFormatPr defaultRowHeight="14.25"/>
  <cols>
    <col min="1" max="1" width="12.625" style="1" customWidth="1"/>
    <col min="2" max="16384" width="9" style="1"/>
  </cols>
  <sheetData>
    <row r="1" spans="1:7">
      <c r="A1" s="1" t="s">
        <v>8</v>
      </c>
    </row>
    <row r="2" spans="1:7">
      <c r="A2" s="1" t="s">
        <v>2</v>
      </c>
      <c r="B2" s="153" t="s">
        <v>3</v>
      </c>
      <c r="C2" s="153"/>
      <c r="D2" s="153"/>
      <c r="E2" s="153" t="s">
        <v>4</v>
      </c>
      <c r="F2" s="153"/>
      <c r="G2" s="153"/>
    </row>
    <row r="3" spans="1:7">
      <c r="B3" s="1" t="s">
        <v>5</v>
      </c>
      <c r="C3" s="1" t="s">
        <v>6</v>
      </c>
      <c r="D3" s="1" t="s">
        <v>7</v>
      </c>
      <c r="E3" s="1" t="s">
        <v>5</v>
      </c>
      <c r="F3" s="4" t="s">
        <v>6</v>
      </c>
      <c r="G3" s="1" t="s">
        <v>7</v>
      </c>
    </row>
    <row r="4" spans="1:7">
      <c r="A4" s="2">
        <v>41095</v>
      </c>
      <c r="B4" s="3">
        <v>3.2500000000000001E-2</v>
      </c>
      <c r="C4" s="3">
        <v>0.03</v>
      </c>
      <c r="D4" s="3">
        <v>-2.5000000000000001E-3</v>
      </c>
      <c r="E4" s="3">
        <v>6.3100000000000003E-2</v>
      </c>
      <c r="F4" s="5">
        <v>0.06</v>
      </c>
      <c r="G4" s="3">
        <v>-3.0999999999999999E-3</v>
      </c>
    </row>
    <row r="5" spans="1:7">
      <c r="A5" s="2">
        <v>41068</v>
      </c>
      <c r="B5" s="3">
        <v>3.5000000000000003E-2</v>
      </c>
      <c r="C5" s="3">
        <v>3.2500000000000001E-2</v>
      </c>
      <c r="D5" s="3">
        <v>-2.5000000000000001E-3</v>
      </c>
      <c r="E5" s="3">
        <v>6.5600000000000006E-2</v>
      </c>
      <c r="F5" s="5">
        <v>6.3100000000000003E-2</v>
      </c>
      <c r="G5" s="3">
        <v>-2.5000000000000001E-3</v>
      </c>
    </row>
    <row r="6" spans="1:7">
      <c r="A6" s="2">
        <v>40731</v>
      </c>
      <c r="B6" s="3">
        <v>3.2500000000000001E-2</v>
      </c>
      <c r="C6" s="3">
        <v>3.5000000000000003E-2</v>
      </c>
      <c r="D6" s="3">
        <v>2.5000000000000001E-3</v>
      </c>
      <c r="E6" s="3">
        <v>6.3100000000000003E-2</v>
      </c>
      <c r="F6" s="5">
        <v>6.5600000000000006E-2</v>
      </c>
      <c r="G6" s="3">
        <v>2.5000000000000001E-3</v>
      </c>
    </row>
    <row r="7" spans="1:7">
      <c r="A7" s="2">
        <v>40639</v>
      </c>
      <c r="B7" s="3">
        <v>0.03</v>
      </c>
      <c r="C7" s="3">
        <v>3.2500000000000001E-2</v>
      </c>
      <c r="D7" s="3">
        <v>2.5000000000000001E-3</v>
      </c>
      <c r="E7" s="3">
        <v>6.0600000000000001E-2</v>
      </c>
      <c r="F7" s="5">
        <v>6.3100000000000003E-2</v>
      </c>
      <c r="G7" s="3">
        <v>2.5000000000000001E-3</v>
      </c>
    </row>
    <row r="8" spans="1:7">
      <c r="A8" s="2">
        <v>40583</v>
      </c>
      <c r="B8" s="3">
        <v>2.75E-2</v>
      </c>
      <c r="C8" s="3">
        <v>0.03</v>
      </c>
      <c r="D8" s="3">
        <v>2.5000000000000001E-3</v>
      </c>
      <c r="E8" s="3">
        <v>5.8099999999999999E-2</v>
      </c>
      <c r="F8" s="5">
        <v>6.0600000000000001E-2</v>
      </c>
      <c r="G8" s="3">
        <v>2.5000000000000001E-3</v>
      </c>
    </row>
    <row r="9" spans="1:7">
      <c r="A9" s="2">
        <v>40538</v>
      </c>
      <c r="B9" s="3">
        <v>2.5000000000000001E-2</v>
      </c>
      <c r="C9" s="3">
        <v>2.75E-2</v>
      </c>
      <c r="D9" s="3">
        <v>2.5000000000000001E-3</v>
      </c>
      <c r="E9" s="3">
        <v>5.5599999999999997E-2</v>
      </c>
      <c r="F9" s="5">
        <v>5.8099999999999999E-2</v>
      </c>
      <c r="G9" s="3">
        <v>2.5000000000000001E-3</v>
      </c>
    </row>
    <row r="10" spans="1:7">
      <c r="A10" s="2">
        <v>40471</v>
      </c>
      <c r="B10" s="3">
        <v>2.2499999999999999E-2</v>
      </c>
      <c r="C10" s="3">
        <v>2.5000000000000001E-2</v>
      </c>
      <c r="D10" s="3">
        <v>2.5000000000000001E-3</v>
      </c>
      <c r="E10" s="3">
        <v>5.3100000000000001E-2</v>
      </c>
      <c r="F10" s="5">
        <v>5.5599999999999997E-2</v>
      </c>
      <c r="G10" s="3">
        <v>2.5000000000000001E-3</v>
      </c>
    </row>
    <row r="11" spans="1:7">
      <c r="A11" s="2">
        <v>39805</v>
      </c>
      <c r="B11" s="3">
        <v>2.52E-2</v>
      </c>
      <c r="C11" s="3">
        <v>2.2499999999999999E-2</v>
      </c>
      <c r="D11" s="3">
        <v>-2.7000000000000001E-3</v>
      </c>
      <c r="E11" s="3">
        <v>5.5800000000000002E-2</v>
      </c>
      <c r="F11" s="5">
        <v>5.3100000000000001E-2</v>
      </c>
      <c r="G11" s="3">
        <v>-2.7000000000000001E-3</v>
      </c>
    </row>
    <row r="12" spans="1:7">
      <c r="A12" s="2">
        <v>39779</v>
      </c>
      <c r="B12" s="3">
        <v>3.5999999999999997E-2</v>
      </c>
      <c r="C12" s="3">
        <v>2.52E-2</v>
      </c>
      <c r="D12" s="3">
        <v>-1.0800000000000001E-2</v>
      </c>
      <c r="E12" s="3">
        <v>6.6600000000000006E-2</v>
      </c>
      <c r="F12" s="5">
        <v>5.5800000000000002E-2</v>
      </c>
      <c r="G12" s="3">
        <v>-1.0800000000000001E-2</v>
      </c>
    </row>
    <row r="13" spans="1:7">
      <c r="A13" s="2">
        <v>39751</v>
      </c>
      <c r="B13" s="3">
        <v>3.8699999999999998E-2</v>
      </c>
      <c r="C13" s="3">
        <v>3.5999999999999997E-2</v>
      </c>
      <c r="D13" s="3">
        <v>-2.7000000000000001E-3</v>
      </c>
      <c r="E13" s="3">
        <v>6.93E-2</v>
      </c>
      <c r="F13" s="5">
        <v>6.6600000000000006E-2</v>
      </c>
      <c r="G13" s="3">
        <v>-2.7000000000000001E-3</v>
      </c>
    </row>
    <row r="14" spans="1:7">
      <c r="A14" s="2">
        <v>39730</v>
      </c>
      <c r="B14" s="3">
        <v>4.1399999999999999E-2</v>
      </c>
      <c r="C14" s="3">
        <v>3.8699999999999998E-2</v>
      </c>
      <c r="D14" s="3">
        <v>-2.7000000000000001E-3</v>
      </c>
      <c r="E14" s="3">
        <v>7.1999999999999995E-2</v>
      </c>
      <c r="F14" s="5">
        <v>6.93E-2</v>
      </c>
      <c r="G14" s="3">
        <v>-2.7000000000000001E-3</v>
      </c>
    </row>
    <row r="15" spans="1:7">
      <c r="A15" s="2">
        <v>39707</v>
      </c>
      <c r="B15" s="3">
        <v>4.1399999999999999E-2</v>
      </c>
      <c r="C15" s="3">
        <v>4.1399999999999999E-2</v>
      </c>
      <c r="D15" s="3">
        <v>0</v>
      </c>
      <c r="E15" s="3">
        <v>7.4700000000000003E-2</v>
      </c>
      <c r="F15" s="5">
        <v>7.1999999999999995E-2</v>
      </c>
      <c r="G15" s="3">
        <v>-2.7000000000000001E-3</v>
      </c>
    </row>
    <row r="16" spans="1:7">
      <c r="A16" s="2">
        <v>39437</v>
      </c>
      <c r="B16" s="3">
        <v>3.8699999999999998E-2</v>
      </c>
      <c r="C16" s="3">
        <v>4.1399999999999999E-2</v>
      </c>
      <c r="D16" s="3">
        <v>2.7000000000000001E-3</v>
      </c>
      <c r="E16" s="3">
        <v>7.2900000000000006E-2</v>
      </c>
      <c r="F16" s="5">
        <v>7.4700000000000003E-2</v>
      </c>
      <c r="G16" s="3">
        <v>1.8E-3</v>
      </c>
    </row>
    <row r="17" spans="1:7">
      <c r="A17" s="2">
        <v>39340</v>
      </c>
      <c r="B17" s="3">
        <v>3.5999999999999997E-2</v>
      </c>
      <c r="C17" s="3">
        <v>3.8699999999999998E-2</v>
      </c>
      <c r="D17" s="3">
        <v>2.7000000000000001E-3</v>
      </c>
      <c r="E17" s="3">
        <v>7.0199999999999999E-2</v>
      </c>
      <c r="F17" s="5">
        <v>7.2900000000000006E-2</v>
      </c>
      <c r="G17" s="3">
        <v>2.7000000000000001E-3</v>
      </c>
    </row>
    <row r="18" spans="1:7">
      <c r="A18" s="2">
        <v>39316</v>
      </c>
      <c r="B18" s="3">
        <v>3.3300000000000003E-2</v>
      </c>
      <c r="C18" s="3">
        <v>3.5999999999999997E-2</v>
      </c>
      <c r="D18" s="3">
        <v>2.7000000000000001E-3</v>
      </c>
      <c r="E18" s="3">
        <v>6.8400000000000002E-2</v>
      </c>
      <c r="F18" s="5">
        <v>7.0199999999999999E-2</v>
      </c>
      <c r="G18" s="3">
        <v>1.8E-3</v>
      </c>
    </row>
    <row r="19" spans="1:7">
      <c r="A19" s="2">
        <v>39284</v>
      </c>
      <c r="B19" s="3">
        <v>3.0599999999999999E-2</v>
      </c>
      <c r="C19" s="3">
        <v>3.3300000000000003E-2</v>
      </c>
      <c r="D19" s="3">
        <v>2.7000000000000001E-3</v>
      </c>
      <c r="E19" s="3">
        <v>6.5699999999999995E-2</v>
      </c>
      <c r="F19" s="5">
        <v>6.8400000000000002E-2</v>
      </c>
      <c r="G19" s="3">
        <v>2.7000000000000001E-3</v>
      </c>
    </row>
    <row r="20" spans="1:7">
      <c r="A20" s="2">
        <v>39221</v>
      </c>
      <c r="B20" s="3">
        <v>2.7900000000000001E-2</v>
      </c>
      <c r="C20" s="3">
        <v>3.0599999999999999E-2</v>
      </c>
      <c r="D20" s="3">
        <v>2.7000000000000001E-3</v>
      </c>
      <c r="E20" s="3">
        <v>6.3899999999999998E-2</v>
      </c>
      <c r="F20" s="5">
        <v>6.5699999999999995E-2</v>
      </c>
      <c r="G20" s="3">
        <v>1.8E-3</v>
      </c>
    </row>
    <row r="21" spans="1:7">
      <c r="A21" s="2">
        <v>39159</v>
      </c>
      <c r="B21" s="3">
        <v>2.52E-2</v>
      </c>
      <c r="C21" s="3">
        <v>2.7900000000000001E-2</v>
      </c>
      <c r="D21" s="3">
        <v>2.7000000000000001E-3</v>
      </c>
      <c r="E21" s="3">
        <v>6.1199999999999997E-2</v>
      </c>
      <c r="F21" s="5">
        <v>6.3899999999999998E-2</v>
      </c>
      <c r="G21" s="3">
        <v>2.7000000000000001E-3</v>
      </c>
    </row>
    <row r="22" spans="1:7">
      <c r="A22" s="2">
        <v>38948</v>
      </c>
      <c r="B22" s="3">
        <v>2.2499999999999999E-2</v>
      </c>
      <c r="C22" s="3">
        <v>2.52E-2</v>
      </c>
      <c r="D22" s="3">
        <v>2.7000000000000001E-3</v>
      </c>
      <c r="E22" s="3">
        <v>5.8500000000000003E-2</v>
      </c>
      <c r="F22" s="5">
        <v>6.1199999999999997E-2</v>
      </c>
      <c r="G22" s="3">
        <v>2.7000000000000001E-3</v>
      </c>
    </row>
    <row r="23" spans="1:7">
      <c r="A23" s="2">
        <v>38835</v>
      </c>
      <c r="B23" s="3">
        <v>2.2499999999999999E-2</v>
      </c>
      <c r="C23" s="3">
        <v>2.2499999999999999E-2</v>
      </c>
      <c r="D23" s="3">
        <v>0</v>
      </c>
      <c r="E23" s="3">
        <v>5.5800000000000002E-2</v>
      </c>
      <c r="F23" s="5">
        <v>5.8500000000000003E-2</v>
      </c>
      <c r="G23" s="3">
        <v>2.7000000000000001E-3</v>
      </c>
    </row>
    <row r="24" spans="1:7">
      <c r="A24" s="2">
        <v>38289</v>
      </c>
      <c r="B24" s="3">
        <v>1.9800000000000002E-2</v>
      </c>
      <c r="C24" s="3">
        <v>2.2499999999999999E-2</v>
      </c>
      <c r="D24" s="3">
        <v>2.7000000000000001E-3</v>
      </c>
      <c r="E24" s="3">
        <v>5.3100000000000001E-2</v>
      </c>
      <c r="F24" s="5">
        <v>5.5800000000000002E-2</v>
      </c>
      <c r="G24" s="3">
        <v>2.7000000000000001E-3</v>
      </c>
    </row>
    <row r="25" spans="1:7">
      <c r="A25" s="2">
        <v>37308</v>
      </c>
      <c r="B25" s="3">
        <v>2.2499999999999999E-2</v>
      </c>
      <c r="C25" s="3">
        <v>1.9800000000000002E-2</v>
      </c>
      <c r="D25" s="3">
        <v>-2.7000000000000001E-3</v>
      </c>
      <c r="E25" s="3">
        <v>5.8500000000000003E-2</v>
      </c>
      <c r="F25" s="5">
        <v>5.3100000000000001E-2</v>
      </c>
      <c r="G25" s="3">
        <v>-5.4000000000000003E-3</v>
      </c>
    </row>
  </sheetData>
  <mergeCells count="2">
    <mergeCell ref="B2:D2"/>
    <mergeCell ref="E2:G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2</vt:i4>
      </vt:variant>
    </vt:vector>
  </HeadingPairs>
  <TitlesOfParts>
    <vt:vector size="7" baseType="lpstr">
      <vt:lpstr>报价计算表</vt:lpstr>
      <vt:lpstr>还款计划表</vt:lpstr>
      <vt:lpstr>IRR</vt:lpstr>
      <vt:lpstr>参数范围</vt:lpstr>
      <vt:lpstr>PBOC贷款基准利率</vt:lpstr>
      <vt:lpstr>还款计划表!prin1</vt:lpstr>
      <vt:lpstr>还款计划表!rate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2015-10-16T04:42:15Z</dcterms:modified>
</cp:coreProperties>
</file>