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840" yWindow="1275" windowWidth="20490" windowHeight="8580"/>
  </bookViews>
  <sheets>
    <sheet name="汇总" sheetId="6" r:id="rId1"/>
    <sheet name="参数范围" sheetId="4" r:id="rId2"/>
    <sheet name="PBOC贷款基准利率" sheetId="3" r:id="rId3"/>
  </sheets>
  <definedNames>
    <definedName name="_xlnm._FilterDatabase" localSheetId="0" hidden="1">汇总!$M$12:$M$13</definedName>
  </definedNames>
  <calcPr calcId="152511"/>
</workbook>
</file>

<file path=xl/calcChain.xml><?xml version="1.0" encoding="utf-8"?>
<calcChain xmlns="http://schemas.openxmlformats.org/spreadsheetml/2006/main">
  <c r="I10" i="6" l="1"/>
  <c r="C15" i="6" s="1"/>
  <c r="G20" i="6"/>
  <c r="E21" i="6" s="1"/>
  <c r="F20" i="6"/>
  <c r="C12" i="6"/>
  <c r="I32" i="6" s="1"/>
  <c r="I20" i="6"/>
  <c r="E12" i="6"/>
  <c r="C20" i="6"/>
  <c r="C21" i="6"/>
  <c r="C22" i="6" s="1"/>
  <c r="C23" i="6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H44" i="6"/>
  <c r="J44" i="6" s="1"/>
  <c r="I44" i="6"/>
  <c r="K44" i="6" s="1"/>
  <c r="L44" i="6" s="1"/>
  <c r="H43" i="6"/>
  <c r="J43" i="6"/>
  <c r="I43" i="6"/>
  <c r="K43" i="6"/>
  <c r="H42" i="6"/>
  <c r="J42" i="6" s="1"/>
  <c r="I42" i="6"/>
  <c r="K42" i="6" s="1"/>
  <c r="L42" i="6"/>
  <c r="H41" i="6"/>
  <c r="J41" i="6"/>
  <c r="I41" i="6"/>
  <c r="K41" i="6"/>
  <c r="H40" i="6"/>
  <c r="J40" i="6" s="1"/>
  <c r="I40" i="6"/>
  <c r="K40" i="6" s="1"/>
  <c r="L40" i="6" s="1"/>
  <c r="H39" i="6"/>
  <c r="J39" i="6"/>
  <c r="I39" i="6"/>
  <c r="K39" i="6"/>
  <c r="H38" i="6"/>
  <c r="J38" i="6" s="1"/>
  <c r="I38" i="6"/>
  <c r="K38" i="6" s="1"/>
  <c r="L38" i="6"/>
  <c r="H37" i="6"/>
  <c r="J37" i="6"/>
  <c r="I37" i="6"/>
  <c r="K37" i="6"/>
  <c r="H36" i="6"/>
  <c r="J36" i="6"/>
  <c r="L36" i="6" s="1"/>
  <c r="I36" i="6"/>
  <c r="K36" i="6"/>
  <c r="H35" i="6"/>
  <c r="J35" i="6" s="1"/>
  <c r="I35" i="6"/>
  <c r="K35" i="6" s="1"/>
  <c r="H34" i="6"/>
  <c r="J34" i="6"/>
  <c r="L34" i="6" s="1"/>
  <c r="I34" i="6"/>
  <c r="K34" i="6"/>
  <c r="H33" i="6"/>
  <c r="J33" i="6" s="1"/>
  <c r="I33" i="6"/>
  <c r="K33" i="6" s="1"/>
  <c r="H32" i="6"/>
  <c r="K32" i="6"/>
  <c r="H31" i="6"/>
  <c r="I31" i="6"/>
  <c r="K31" i="6" s="1"/>
  <c r="H30" i="6"/>
  <c r="I30" i="6"/>
  <c r="K30" i="6"/>
  <c r="H29" i="6"/>
  <c r="I29" i="6"/>
  <c r="K29" i="6" s="1"/>
  <c r="H28" i="6"/>
  <c r="I28" i="6"/>
  <c r="K28" i="6"/>
  <c r="H27" i="6"/>
  <c r="I27" i="6"/>
  <c r="K27" i="6" s="1"/>
  <c r="H26" i="6"/>
  <c r="I26" i="6"/>
  <c r="K26" i="6"/>
  <c r="H25" i="6"/>
  <c r="I25" i="6"/>
  <c r="K25" i="6" s="1"/>
  <c r="H24" i="6"/>
  <c r="I24" i="6"/>
  <c r="K24" i="6"/>
  <c r="H23" i="6"/>
  <c r="I23" i="6"/>
  <c r="K23" i="6" s="1"/>
  <c r="H22" i="6"/>
  <c r="I22" i="6"/>
  <c r="K22" i="6"/>
  <c r="H21" i="6"/>
  <c r="I21" i="6"/>
  <c r="K21" i="6" s="1"/>
  <c r="H20" i="6"/>
  <c r="K20" i="6"/>
  <c r="N5" i="4"/>
  <c r="N6" i="4"/>
  <c r="N7" i="4"/>
  <c r="N4" i="4"/>
  <c r="L33" i="6" l="1"/>
  <c r="L35" i="6"/>
  <c r="L37" i="6"/>
  <c r="L41" i="6"/>
  <c r="L39" i="6"/>
  <c r="L43" i="6"/>
  <c r="D20" i="6"/>
  <c r="J20" i="6" s="1"/>
  <c r="L20" i="6" s="1"/>
  <c r="D22" i="6"/>
  <c r="D24" i="6"/>
  <c r="D26" i="6"/>
  <c r="D28" i="6"/>
  <c r="D30" i="6"/>
  <c r="D32" i="6"/>
  <c r="D21" i="6"/>
  <c r="D23" i="6"/>
  <c r="D25" i="6"/>
  <c r="D27" i="6"/>
  <c r="D29" i="6"/>
  <c r="D31" i="6"/>
  <c r="J31" i="6" l="1"/>
  <c r="L31" i="6" s="1"/>
  <c r="J23" i="6"/>
  <c r="L23" i="6" s="1"/>
  <c r="J32" i="6"/>
  <c r="L32" i="6" s="1"/>
  <c r="J28" i="6"/>
  <c r="L28" i="6" s="1"/>
  <c r="J24" i="6"/>
  <c r="L24" i="6" s="1"/>
  <c r="J27" i="6"/>
  <c r="L27" i="6" s="1"/>
  <c r="J29" i="6"/>
  <c r="L29" i="6" s="1"/>
  <c r="J25" i="6"/>
  <c r="L25" i="6" s="1"/>
  <c r="J21" i="6"/>
  <c r="L21" i="6" s="1"/>
  <c r="D45" i="6"/>
  <c r="C16" i="6" s="1"/>
  <c r="F21" i="6"/>
  <c r="J30" i="6"/>
  <c r="L30" i="6" s="1"/>
  <c r="J26" i="6"/>
  <c r="L26" i="6" s="1"/>
  <c r="J22" i="6"/>
  <c r="L22" i="6" s="1"/>
  <c r="G16" i="6"/>
  <c r="K15" i="6"/>
  <c r="G15" i="6"/>
  <c r="I15" i="6" l="1"/>
  <c r="G21" i="6"/>
  <c r="E22" i="6" l="1"/>
  <c r="F22" i="6" l="1"/>
  <c r="G22" i="6" l="1"/>
  <c r="E23" i="6" l="1"/>
  <c r="F23" i="6" l="1"/>
  <c r="G23" i="6" l="1"/>
  <c r="E24" i="6" l="1"/>
  <c r="F24" i="6" l="1"/>
  <c r="G24" i="6" l="1"/>
  <c r="E25" i="6" l="1"/>
  <c r="F25" i="6" s="1"/>
  <c r="G25" i="6"/>
  <c r="E26" i="6" l="1"/>
  <c r="F26" i="6" s="1"/>
  <c r="G26" i="6"/>
  <c r="E27" i="6" l="1"/>
  <c r="F27" i="6" s="1"/>
  <c r="G27" i="6"/>
  <c r="E28" i="6" l="1"/>
  <c r="F28" i="6" s="1"/>
  <c r="G28" i="6"/>
  <c r="E29" i="6" l="1"/>
  <c r="F29" i="6" s="1"/>
  <c r="G29" i="6"/>
  <c r="E30" i="6" l="1"/>
  <c r="F30" i="6" s="1"/>
  <c r="G30" i="6"/>
  <c r="E31" i="6" l="1"/>
  <c r="F31" i="6" s="1"/>
  <c r="G31" i="6"/>
  <c r="E32" i="6" l="1"/>
  <c r="F32" i="6" s="1"/>
  <c r="G32" i="6"/>
  <c r="E33" i="6" l="1"/>
  <c r="F33" i="6" s="1"/>
  <c r="G33" i="6"/>
  <c r="E34" i="6" l="1"/>
  <c r="F34" i="6" s="1"/>
  <c r="G34" i="6"/>
  <c r="E35" i="6" l="1"/>
  <c r="F35" i="6" s="1"/>
  <c r="G35" i="6"/>
  <c r="E36" i="6" l="1"/>
  <c r="F36" i="6" s="1"/>
  <c r="G36" i="6"/>
  <c r="E37" i="6" l="1"/>
  <c r="F37" i="6" s="1"/>
  <c r="G37" i="6"/>
  <c r="E38" i="6" l="1"/>
  <c r="F38" i="6" s="1"/>
  <c r="G38" i="6"/>
  <c r="E39" i="6" l="1"/>
  <c r="F39" i="6" s="1"/>
  <c r="G39" i="6"/>
  <c r="E40" i="6" l="1"/>
  <c r="F40" i="6" s="1"/>
  <c r="G40" i="6"/>
  <c r="E41" i="6" l="1"/>
  <c r="F41" i="6" s="1"/>
  <c r="G41" i="6"/>
  <c r="E42" i="6" l="1"/>
  <c r="F42" i="6" s="1"/>
  <c r="G42" i="6"/>
  <c r="E43" i="6" l="1"/>
  <c r="F43" i="6" s="1"/>
  <c r="G43" i="6"/>
  <c r="E44" i="6" l="1"/>
  <c r="F44" i="6" l="1"/>
  <c r="E45" i="6"/>
  <c r="E16" i="6" s="1"/>
  <c r="F45" i="6" l="1"/>
  <c r="E15" i="6" s="1"/>
  <c r="G44" i="6"/>
</calcChain>
</file>

<file path=xl/comments1.xml><?xml version="1.0" encoding="utf-8"?>
<comments xmlns="http://schemas.openxmlformats.org/spreadsheetml/2006/main">
  <authors>
    <author>作者</author>
  </authors>
  <commentList>
    <comment ref="I11" authorId="0" shapeId="0">
      <text>
        <r>
          <rPr>
            <sz val="9"/>
            <color indexed="81"/>
            <rFont val="宋体"/>
            <family val="3"/>
            <charset val="134"/>
          </rPr>
          <t xml:space="preserve">
0表示期末支付
1表示期初支付</t>
        </r>
      </text>
    </comment>
    <comment ref="J12" authorId="0" shapeId="0">
      <text>
        <r>
          <rPr>
            <sz val="9"/>
            <color indexed="81"/>
            <rFont val="宋体"/>
            <family val="3"/>
            <charset val="134"/>
          </rPr>
          <t xml:space="preserve">
月数，录入0则为无宽限期，（宽限期是指只还息不还本金的期间）</t>
        </r>
      </text>
    </comment>
    <comment ref="D2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手续费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宋体"/>
            <family val="3"/>
            <charset val="134"/>
          </rPr>
          <t>保证金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宋体"/>
            <family val="3"/>
            <charset val="134"/>
          </rPr>
          <t>（先付租金）</t>
        </r>
      </text>
    </comment>
    <comment ref="H20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供应商折扣</t>
        </r>
      </text>
    </comment>
    <comment ref="D45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总租金</t>
        </r>
      </text>
    </comment>
  </commentList>
</comments>
</file>

<file path=xl/sharedStrings.xml><?xml version="1.0" encoding="utf-8"?>
<sst xmlns="http://schemas.openxmlformats.org/spreadsheetml/2006/main" count="97" uniqueCount="87">
  <si>
    <t>调整日期</t>
  </si>
  <si>
    <t>存款基准利率</t>
  </si>
  <si>
    <t>贷款基准利率</t>
  </si>
  <si>
    <t>调整前</t>
  </si>
  <si>
    <t>调整后</t>
  </si>
  <si>
    <t>幅度</t>
  </si>
  <si>
    <t>中国人民银行人民币存贷款基准利率历次调整一览表（1年期）</t>
    <phoneticPr fontId="3" type="noConversion"/>
  </si>
  <si>
    <t>融资期限（月）</t>
    <phoneticPr fontId="3" type="noConversion"/>
  </si>
  <si>
    <t>利率浮动方式</t>
  </si>
  <si>
    <t>固定利率</t>
    <phoneticPr fontId="3" type="noConversion"/>
  </si>
  <si>
    <t>按年浮动</t>
    <phoneticPr fontId="3" type="noConversion"/>
  </si>
  <si>
    <t>按季浮动</t>
    <phoneticPr fontId="3" type="noConversion"/>
  </si>
  <si>
    <t>手续费支付方式</t>
    <phoneticPr fontId="3" type="noConversion"/>
  </si>
  <si>
    <t>一次性支付</t>
    <phoneticPr fontId="3" type="noConversion"/>
  </si>
  <si>
    <t>每年初支付</t>
    <phoneticPr fontId="3" type="noConversion"/>
  </si>
  <si>
    <t>每期租金前支付</t>
    <phoneticPr fontId="3" type="noConversion"/>
  </si>
  <si>
    <t>租金支付周期</t>
    <phoneticPr fontId="3" type="noConversion"/>
  </si>
  <si>
    <t>月</t>
    <phoneticPr fontId="3" type="noConversion"/>
  </si>
  <si>
    <t>双月</t>
    <phoneticPr fontId="3" type="noConversion"/>
  </si>
  <si>
    <t>季度</t>
    <phoneticPr fontId="3" type="noConversion"/>
  </si>
  <si>
    <t>半年</t>
    <phoneticPr fontId="3" type="noConversion"/>
  </si>
  <si>
    <t>一年</t>
    <phoneticPr fontId="3" type="noConversion"/>
  </si>
  <si>
    <t>租金支付方式（1表示前付，0表示后付）</t>
    <phoneticPr fontId="3" type="noConversion"/>
  </si>
  <si>
    <t>PBOC贷款基准利率</t>
  </si>
  <si>
    <t>年期数</t>
    <phoneticPr fontId="3" type="noConversion"/>
  </si>
  <si>
    <t>月份数</t>
    <phoneticPr fontId="3" type="noConversion"/>
  </si>
  <si>
    <t>天数</t>
    <phoneticPr fontId="3" type="noConversion"/>
  </si>
  <si>
    <t>6至12个月</t>
    <phoneticPr fontId="3" type="noConversion"/>
  </si>
  <si>
    <t>12个月-36个月</t>
    <phoneticPr fontId="3" type="noConversion"/>
  </si>
  <si>
    <t>36个月-60个月</t>
    <phoneticPr fontId="3" type="noConversion"/>
  </si>
  <si>
    <t>60个月以上</t>
  </si>
  <si>
    <t>60个月以上</t>
    <phoneticPr fontId="3" type="noConversion"/>
  </si>
  <si>
    <t>6至12个月（含12个月）</t>
    <phoneticPr fontId="3" type="noConversion"/>
  </si>
  <si>
    <t>6个月以内（含6个月）</t>
    <phoneticPr fontId="3" type="noConversion"/>
  </si>
  <si>
    <t>12个月-36个月（含36个月）</t>
    <phoneticPr fontId="3" type="noConversion"/>
  </si>
  <si>
    <t>36个月-60个月（含60个月）</t>
    <phoneticPr fontId="3" type="noConversion"/>
  </si>
  <si>
    <t>12个月-36个月（含36个月）</t>
  </si>
  <si>
    <t>项目名称：</t>
    <phoneticPr fontId="3" type="noConversion"/>
  </si>
  <si>
    <t>租赁方式：</t>
    <phoneticPr fontId="3" type="noConversion"/>
  </si>
  <si>
    <t>单位：元（RMB）</t>
    <phoneticPr fontId="3" type="noConversion"/>
  </si>
  <si>
    <t>合同编号：</t>
    <phoneticPr fontId="3" type="noConversion"/>
  </si>
  <si>
    <t>利息</t>
  </si>
  <si>
    <t>起租日</t>
  </si>
  <si>
    <t>合计</t>
  </si>
  <si>
    <t>收回本金</t>
    <phoneticPr fontId="3" type="noConversion"/>
  </si>
  <si>
    <t>融资租赁总金额</t>
    <phoneticPr fontId="3" type="noConversion"/>
  </si>
  <si>
    <t>租赁期限（月）</t>
    <phoneticPr fontId="3" type="noConversion"/>
  </si>
  <si>
    <t>利率浮动方式</t>
    <phoneticPr fontId="3" type="noConversion"/>
  </si>
  <si>
    <t>浮动比率</t>
    <phoneticPr fontId="3" type="noConversion"/>
  </si>
  <si>
    <t>租赁物价格</t>
    <phoneticPr fontId="3" type="noConversion"/>
  </si>
  <si>
    <t>起租日期</t>
    <phoneticPr fontId="3" type="noConversion"/>
  </si>
  <si>
    <t>期末残值</t>
    <phoneticPr fontId="3" type="noConversion"/>
  </si>
  <si>
    <t>租赁利率</t>
    <phoneticPr fontId="3" type="noConversion"/>
  </si>
  <si>
    <t>保证金率</t>
    <phoneticPr fontId="3" type="noConversion"/>
  </si>
  <si>
    <t>管理费率</t>
    <phoneticPr fontId="3" type="noConversion"/>
  </si>
  <si>
    <t>租金支付方式</t>
    <phoneticPr fontId="3" type="noConversion"/>
  </si>
  <si>
    <t>手续费支付方式</t>
    <phoneticPr fontId="3" type="noConversion"/>
  </si>
  <si>
    <t>一次性支付</t>
    <phoneticPr fontId="3" type="noConversion"/>
  </si>
  <si>
    <t>保证金</t>
    <phoneticPr fontId="3" type="noConversion"/>
  </si>
  <si>
    <t>手续费</t>
    <phoneticPr fontId="3" type="noConversion"/>
  </si>
  <si>
    <t>管理费</t>
    <phoneticPr fontId="3" type="noConversion"/>
  </si>
  <si>
    <t>租金支付周期</t>
    <phoneticPr fontId="3" type="noConversion"/>
  </si>
  <si>
    <t>双月</t>
    <phoneticPr fontId="3" type="noConversion"/>
  </si>
  <si>
    <t>宽限期</t>
    <phoneticPr fontId="3" type="noConversion"/>
  </si>
  <si>
    <t>收益测算</t>
    <phoneticPr fontId="3" type="noConversion"/>
  </si>
  <si>
    <t>每期租金</t>
    <phoneticPr fontId="3" type="noConversion"/>
  </si>
  <si>
    <t>收回本金</t>
    <phoneticPr fontId="3" type="noConversion"/>
  </si>
  <si>
    <t>净融资额现值</t>
    <phoneticPr fontId="3" type="noConversion"/>
  </si>
  <si>
    <t>现值收益率</t>
    <phoneticPr fontId="3" type="noConversion"/>
  </si>
  <si>
    <t>项目IRR</t>
    <phoneticPr fontId="3" type="noConversion"/>
  </si>
  <si>
    <t>租金总额</t>
    <phoneticPr fontId="3" type="noConversion"/>
  </si>
  <si>
    <t>收回利息</t>
    <phoneticPr fontId="3" type="noConversion"/>
  </si>
  <si>
    <t>净现值NPV</t>
    <phoneticPr fontId="3" type="noConversion"/>
  </si>
  <si>
    <t>年化现值收益率</t>
    <phoneticPr fontId="3" type="noConversion"/>
  </si>
  <si>
    <t>手续费率</t>
    <phoneticPr fontId="3" type="noConversion"/>
  </si>
  <si>
    <t>项目参数</t>
    <phoneticPr fontId="3" type="noConversion"/>
  </si>
  <si>
    <t>日期</t>
    <phoneticPr fontId="3" type="noConversion"/>
  </si>
  <si>
    <t>还款日期</t>
    <phoneticPr fontId="3" type="noConversion"/>
  </si>
  <si>
    <t>租赁相关流入</t>
    <phoneticPr fontId="3" type="noConversion"/>
  </si>
  <si>
    <t>尚未收回本金</t>
    <phoneticPr fontId="3" type="noConversion"/>
  </si>
  <si>
    <t>其他现金流入</t>
    <phoneticPr fontId="3" type="noConversion"/>
  </si>
  <si>
    <t>其他现金流出</t>
    <phoneticPr fontId="3" type="noConversion"/>
  </si>
  <si>
    <t>现金流入</t>
    <phoneticPr fontId="3" type="noConversion"/>
  </si>
  <si>
    <t>现金流出</t>
    <phoneticPr fontId="3" type="noConversion"/>
  </si>
  <si>
    <t>净现金流</t>
    <phoneticPr fontId="3" type="noConversion"/>
  </si>
  <si>
    <t>6个月以内</t>
    <phoneticPr fontId="3" type="noConversion"/>
  </si>
  <si>
    <t>融资租赁租金计算模板-NEW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</si>
</sst>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-* #,##0_-;\-* #,##0_-;_-* &quot;-&quot;_-;_-@_-"/>
    <numFmt numFmtId="177" formatCode="#,##0.00_);[Red]\(#,##0.00\)"/>
    <numFmt numFmtId="178" formatCode="_-* #,##0.00_-;\-* #,##0.00_-;_-* &quot;-&quot;_-;_-@_-"/>
    <numFmt numFmtId="179" formatCode="#,##0.00_ "/>
    <numFmt numFmtId="180" formatCode="#,##0_ "/>
    <numFmt numFmtId="181" formatCode="#,##0.00_ ;[Red]\-#,##0.00\ "/>
    <numFmt numFmtId="182" formatCode="&quot;第&quot;#&quot;期&quot;"/>
    <numFmt numFmtId="183" formatCode="#,##0_);[Red]\(#,##0\)"/>
  </numFmts>
  <fonts count="15" x14ac:knownFonts="1"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1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color indexed="81"/>
      <name val="Tahoma"/>
      <family val="2"/>
    </font>
    <font>
      <sz val="10"/>
      <color indexed="8"/>
      <name val="楷体_GB2312"/>
      <family val="3"/>
      <charset val="134"/>
    </font>
    <font>
      <b/>
      <sz val="12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1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0" fontId="7" fillId="0" borderId="0" xfId="0" applyFont="1"/>
    <xf numFmtId="0" fontId="9" fillId="0" borderId="5" xfId="0" applyFont="1" applyFill="1" applyBorder="1" applyAlignment="1"/>
    <xf numFmtId="183" fontId="9" fillId="3" borderId="5" xfId="3" applyNumberFormat="1" applyFont="1" applyFill="1" applyBorder="1" applyAlignment="1">
      <alignment horizontal="right"/>
    </xf>
    <xf numFmtId="180" fontId="9" fillId="3" borderId="10" xfId="0" applyNumberFormat="1" applyFont="1" applyFill="1" applyBorder="1" applyAlignment="1"/>
    <xf numFmtId="0" fontId="9" fillId="3" borderId="5" xfId="0" applyFont="1" applyFill="1" applyBorder="1" applyAlignment="1">
      <alignment horizontal="right"/>
    </xf>
    <xf numFmtId="9" fontId="9" fillId="3" borderId="5" xfId="0" applyNumberFormat="1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0" fontId="9" fillId="0" borderId="7" xfId="0" applyFont="1" applyFill="1" applyBorder="1" applyAlignment="1"/>
    <xf numFmtId="183" fontId="9" fillId="3" borderId="7" xfId="0" applyNumberFormat="1" applyFont="1" applyFill="1" applyBorder="1" applyAlignment="1">
      <alignment horizontal="right"/>
    </xf>
    <xf numFmtId="14" fontId="9" fillId="3" borderId="11" xfId="0" applyNumberFormat="1" applyFont="1" applyFill="1" applyBorder="1" applyAlignment="1"/>
    <xf numFmtId="0" fontId="9" fillId="3" borderId="7" xfId="0" applyFont="1" applyFill="1" applyBorder="1" applyAlignment="1">
      <alignment horizontal="right"/>
    </xf>
    <xf numFmtId="10" fontId="9" fillId="3" borderId="7" xfId="1" applyNumberFormat="1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0" fontId="9" fillId="0" borderId="9" xfId="0" applyFont="1" applyFill="1" applyBorder="1" applyAlignment="1"/>
    <xf numFmtId="9" fontId="9" fillId="3" borderId="5" xfId="1" applyFont="1" applyFill="1" applyBorder="1" applyAlignment="1">
      <alignment horizontal="right"/>
    </xf>
    <xf numFmtId="9" fontId="9" fillId="3" borderId="10" xfId="1" applyFont="1" applyFill="1" applyBorder="1" applyAlignment="1"/>
    <xf numFmtId="0" fontId="9" fillId="3" borderId="6" xfId="0" applyFont="1" applyFill="1" applyBorder="1" applyAlignment="1">
      <alignment horizontal="right"/>
    </xf>
    <xf numFmtId="183" fontId="9" fillId="0" borderId="7" xfId="0" applyNumberFormat="1" applyFont="1" applyFill="1" applyBorder="1" applyAlignment="1">
      <alignment horizontal="right"/>
    </xf>
    <xf numFmtId="180" fontId="9" fillId="0" borderId="11" xfId="0" applyNumberFormat="1" applyFont="1" applyFill="1" applyBorder="1" applyAlignment="1"/>
    <xf numFmtId="0" fontId="9" fillId="0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wrapText="1"/>
    </xf>
    <xf numFmtId="0" fontId="9" fillId="3" borderId="8" xfId="0" applyFont="1" applyFill="1" applyBorder="1" applyAlignment="1">
      <alignment horizontal="right"/>
    </xf>
    <xf numFmtId="0" fontId="9" fillId="0" borderId="0" xfId="0" applyFont="1" applyAlignment="1"/>
    <xf numFmtId="177" fontId="9" fillId="0" borderId="0" xfId="0" applyNumberFormat="1" applyFont="1" applyAlignment="1"/>
    <xf numFmtId="179" fontId="9" fillId="0" borderId="0" xfId="0" applyNumberFormat="1" applyFont="1" applyAlignment="1"/>
    <xf numFmtId="0" fontId="9" fillId="0" borderId="2" xfId="0" applyFont="1" applyFill="1" applyBorder="1" applyAlignment="1"/>
    <xf numFmtId="177" fontId="9" fillId="2" borderId="3" xfId="0" applyNumberFormat="1" applyFont="1" applyFill="1" applyBorder="1" applyAlignment="1"/>
    <xf numFmtId="0" fontId="9" fillId="0" borderId="3" xfId="0" applyFont="1" applyFill="1" applyBorder="1" applyAlignment="1"/>
    <xf numFmtId="179" fontId="9" fillId="2" borderId="3" xfId="0" applyNumberFormat="1" applyFont="1" applyFill="1" applyBorder="1" applyAlignment="1"/>
    <xf numFmtId="178" fontId="9" fillId="2" borderId="3" xfId="3" applyNumberFormat="1" applyFont="1" applyFill="1" applyBorder="1" applyAlignment="1"/>
    <xf numFmtId="10" fontId="9" fillId="2" borderId="3" xfId="1" applyNumberFormat="1" applyFont="1" applyFill="1" applyBorder="1" applyAlignment="1"/>
    <xf numFmtId="10" fontId="9" fillId="2" borderId="12" xfId="1" applyNumberFormat="1" applyFont="1" applyFill="1" applyBorder="1" applyAlignment="1"/>
    <xf numFmtId="0" fontId="9" fillId="0" borderId="4" xfId="0" applyFont="1" applyFill="1" applyBorder="1" applyAlignment="1"/>
    <xf numFmtId="177" fontId="9" fillId="2" borderId="1" xfId="0" applyNumberFormat="1" applyFont="1" applyFill="1" applyBorder="1" applyAlignment="1"/>
    <xf numFmtId="0" fontId="9" fillId="0" borderId="1" xfId="0" applyFont="1" applyFill="1" applyBorder="1" applyAlignment="1"/>
    <xf numFmtId="179" fontId="9" fillId="2" borderId="1" xfId="0" applyNumberFormat="1" applyFont="1" applyFill="1" applyBorder="1" applyAlignment="1"/>
    <xf numFmtId="178" fontId="9" fillId="2" borderId="1" xfId="3" applyNumberFormat="1" applyFont="1" applyFill="1" applyBorder="1" applyAlignment="1"/>
    <xf numFmtId="0" fontId="9" fillId="2" borderId="1" xfId="0" applyFont="1" applyFill="1" applyBorder="1" applyAlignment="1"/>
    <xf numFmtId="0" fontId="9" fillId="2" borderId="13" xfId="0" applyFont="1" applyFill="1" applyBorder="1" applyAlignment="1"/>
    <xf numFmtId="0" fontId="9" fillId="0" borderId="14" xfId="2" applyFont="1" applyBorder="1" applyAlignment="1">
      <alignment horizontal="center" vertical="center"/>
    </xf>
    <xf numFmtId="0" fontId="9" fillId="0" borderId="14" xfId="2" applyFont="1" applyBorder="1" applyAlignment="1">
      <alignment horizontal="center" vertical="center" wrapText="1"/>
    </xf>
    <xf numFmtId="0" fontId="9" fillId="0" borderId="14" xfId="2" applyFont="1" applyBorder="1">
      <alignment vertical="center"/>
    </xf>
    <xf numFmtId="14" fontId="9" fillId="0" borderId="14" xfId="2" applyNumberFormat="1" applyFont="1" applyBorder="1" applyAlignment="1">
      <alignment horizontal="center" vertical="center"/>
    </xf>
    <xf numFmtId="181" fontId="9" fillId="0" borderId="14" xfId="2" applyNumberFormat="1" applyFont="1" applyBorder="1" applyAlignment="1">
      <alignment horizontal="right" vertical="center"/>
    </xf>
    <xf numFmtId="0" fontId="9" fillId="0" borderId="14" xfId="2" applyFont="1" applyBorder="1" applyAlignment="1">
      <alignment horizontal="right" vertical="center"/>
    </xf>
    <xf numFmtId="177" fontId="9" fillId="0" borderId="14" xfId="2" applyNumberFormat="1" applyFont="1" applyBorder="1" applyAlignment="1">
      <alignment horizontal="right" vertical="center"/>
    </xf>
    <xf numFmtId="179" fontId="9" fillId="0" borderId="14" xfId="2" applyNumberFormat="1" applyFont="1" applyBorder="1" applyAlignment="1">
      <alignment horizontal="right" vertical="center"/>
    </xf>
    <xf numFmtId="182" fontId="9" fillId="0" borderId="14" xfId="2" applyNumberFormat="1" applyFont="1" applyFill="1" applyBorder="1" applyAlignment="1">
      <alignment horizontal="left" vertical="center"/>
    </xf>
    <xf numFmtId="14" fontId="9" fillId="0" borderId="14" xfId="2" applyNumberFormat="1" applyFont="1" applyFill="1" applyBorder="1" applyAlignment="1">
      <alignment horizontal="center" vertical="center"/>
    </xf>
    <xf numFmtId="182" fontId="9" fillId="0" borderId="14" xfId="2" applyNumberFormat="1" applyFont="1" applyBorder="1" applyAlignment="1">
      <alignment horizontal="left" vertical="center"/>
    </xf>
    <xf numFmtId="0" fontId="13" fillId="0" borderId="0" xfId="0" applyFont="1"/>
    <xf numFmtId="0" fontId="12" fillId="0" borderId="0" xfId="0" applyFont="1"/>
    <xf numFmtId="0" fontId="9" fillId="0" borderId="0" xfId="0" applyFont="1"/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10" fontId="9" fillId="0" borderId="0" xfId="1" applyNumberFormat="1" applyFont="1" applyAlignment="1"/>
    <xf numFmtId="0" fontId="9" fillId="4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0" fontId="14" fillId="2" borderId="16" xfId="1" applyNumberFormat="1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10" fontId="9" fillId="0" borderId="16" xfId="1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0" fontId="9" fillId="0" borderId="19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9" fillId="0" borderId="14" xfId="0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9" fillId="0" borderId="28" xfId="0" applyFont="1" applyBorder="1" applyAlignment="1">
      <alignment horizontal="right"/>
    </xf>
    <xf numFmtId="0" fontId="9" fillId="0" borderId="29" xfId="0" applyFont="1" applyBorder="1" applyAlignment="1">
      <alignment horizontal="right"/>
    </xf>
    <xf numFmtId="0" fontId="9" fillId="0" borderId="30" xfId="0" applyFont="1" applyBorder="1" applyAlignment="1">
      <alignment horizontal="right"/>
    </xf>
    <xf numFmtId="0" fontId="14" fillId="4" borderId="29" xfId="0" applyFont="1" applyFill="1" applyBorder="1" applyAlignment="1">
      <alignment horizontal="right"/>
    </xf>
    <xf numFmtId="31" fontId="9" fillId="0" borderId="9" xfId="0" applyNumberFormat="1" applyFont="1" applyBorder="1"/>
    <xf numFmtId="10" fontId="9" fillId="0" borderId="31" xfId="0" applyNumberFormat="1" applyFont="1" applyBorder="1"/>
    <xf numFmtId="10" fontId="9" fillId="0" borderId="0" xfId="0" applyNumberFormat="1" applyFont="1" applyBorder="1"/>
    <xf numFmtId="10" fontId="9" fillId="0" borderId="27" xfId="0" applyNumberFormat="1" applyFont="1" applyBorder="1"/>
    <xf numFmtId="10" fontId="14" fillId="4" borderId="0" xfId="0" applyNumberFormat="1" applyFont="1" applyFill="1" applyBorder="1"/>
    <xf numFmtId="31" fontId="9" fillId="0" borderId="7" xfId="0" applyNumberFormat="1" applyFont="1" applyBorder="1"/>
    <xf numFmtId="10" fontId="9" fillId="0" borderId="32" xfId="0" applyNumberFormat="1" applyFont="1" applyBorder="1"/>
    <xf numFmtId="10" fontId="9" fillId="0" borderId="11" xfId="0" applyNumberFormat="1" applyFont="1" applyBorder="1"/>
    <xf numFmtId="10" fontId="9" fillId="0" borderId="8" xfId="0" applyNumberFormat="1" applyFont="1" applyBorder="1"/>
    <xf numFmtId="10" fontId="14" fillId="4" borderId="11" xfId="0" applyNumberFormat="1" applyFont="1" applyFill="1" applyBorder="1"/>
    <xf numFmtId="0" fontId="12" fillId="0" borderId="0" xfId="0" applyFont="1" applyAlignment="1">
      <alignment horizontal="center"/>
    </xf>
    <xf numFmtId="0" fontId="9" fillId="0" borderId="1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百分比" xfId="1" builtinId="5"/>
    <cellStyle name="常规" xfId="0" builtinId="0"/>
    <cellStyle name="常规_新租金测算(按季)" xfId="2"/>
    <cellStyle name="千位分隔[0]" xfId="3" builtinId="6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5"/>
  <sheetViews>
    <sheetView tabSelected="1" workbookViewId="0">
      <selection activeCell="G9" sqref="G9"/>
    </sheetView>
  </sheetViews>
  <sheetFormatPr defaultRowHeight="12" x14ac:dyDescent="0.15"/>
  <cols>
    <col min="1" max="1" width="3.375" style="51" customWidth="1"/>
    <col min="2" max="6" width="13.125" style="51" bestFit="1" customWidth="1"/>
    <col min="7" max="7" width="23.625" style="51" bestFit="1" customWidth="1"/>
    <col min="8" max="11" width="13.125" style="51" bestFit="1" customWidth="1"/>
    <col min="12" max="12" width="12.25" style="51" bestFit="1" customWidth="1"/>
    <col min="13" max="16384" width="9" style="51"/>
  </cols>
  <sheetData>
    <row r="1" spans="1:13" x14ac:dyDescent="0.15">
      <c r="A1" s="90" t="s">
        <v>86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15">
      <c r="A2" s="52" t="s">
        <v>37</v>
      </c>
    </row>
    <row r="3" spans="1:13" x14ac:dyDescent="0.15">
      <c r="A3" s="52" t="s">
        <v>38</v>
      </c>
    </row>
    <row r="4" spans="1:13" x14ac:dyDescent="0.15">
      <c r="A4" s="52" t="s">
        <v>40</v>
      </c>
    </row>
    <row r="5" spans="1:13" x14ac:dyDescent="0.15">
      <c r="A5" s="52" t="s">
        <v>39</v>
      </c>
    </row>
    <row r="6" spans="1:13" x14ac:dyDescent="0.15">
      <c r="A6" s="52"/>
    </row>
    <row r="8" spans="1:13" x14ac:dyDescent="0.15">
      <c r="B8" s="93" t="s">
        <v>75</v>
      </c>
      <c r="C8" s="93"/>
      <c r="D8" s="93"/>
      <c r="E8" s="93"/>
      <c r="F8" s="93"/>
      <c r="G8" s="93"/>
      <c r="H8" s="93"/>
      <c r="I8" s="93"/>
      <c r="J8" s="93"/>
      <c r="K8" s="93"/>
      <c r="L8" s="53"/>
    </row>
    <row r="9" spans="1:13" ht="20.25" customHeight="1" x14ac:dyDescent="0.15">
      <c r="B9" s="2" t="s">
        <v>45</v>
      </c>
      <c r="C9" s="3">
        <v>1000000</v>
      </c>
      <c r="D9" s="2" t="s">
        <v>46</v>
      </c>
      <c r="E9" s="4">
        <v>24</v>
      </c>
      <c r="F9" s="2" t="s">
        <v>47</v>
      </c>
      <c r="G9" s="5" t="s">
        <v>36</v>
      </c>
      <c r="H9" s="2" t="s">
        <v>48</v>
      </c>
      <c r="I9" s="6">
        <v>0.25</v>
      </c>
      <c r="J9" s="2"/>
      <c r="K9" s="7"/>
    </row>
    <row r="10" spans="1:13" ht="20.25" customHeight="1" x14ac:dyDescent="0.15">
      <c r="B10" s="8" t="s">
        <v>49</v>
      </c>
      <c r="C10" s="9">
        <v>1000000</v>
      </c>
      <c r="D10" s="8" t="s">
        <v>50</v>
      </c>
      <c r="E10" s="10">
        <v>41122</v>
      </c>
      <c r="F10" s="8" t="s">
        <v>51</v>
      </c>
      <c r="G10" s="11">
        <v>0</v>
      </c>
      <c r="H10" s="8" t="s">
        <v>52</v>
      </c>
      <c r="I10" s="12">
        <f>IF(G9=参数范围!G3,参数范围!I3,VLOOKUP(G9,参数范围!$G$4:$I$8,3,0)*(1+I9))</f>
        <v>7.6874999999999999E-2</v>
      </c>
      <c r="J10" s="8"/>
      <c r="K10" s="13"/>
    </row>
    <row r="11" spans="1:13" ht="20.25" customHeight="1" x14ac:dyDescent="0.15">
      <c r="B11" s="14" t="s">
        <v>53</v>
      </c>
      <c r="C11" s="15">
        <v>0.1</v>
      </c>
      <c r="D11" s="2" t="s">
        <v>74</v>
      </c>
      <c r="E11" s="16">
        <v>0.02</v>
      </c>
      <c r="F11" s="2" t="s">
        <v>54</v>
      </c>
      <c r="G11" s="5">
        <v>0</v>
      </c>
      <c r="H11" s="2" t="s">
        <v>55</v>
      </c>
      <c r="I11" s="5">
        <v>0</v>
      </c>
      <c r="J11" s="2" t="s">
        <v>56</v>
      </c>
      <c r="K11" s="17" t="s">
        <v>57</v>
      </c>
    </row>
    <row r="12" spans="1:13" ht="20.25" customHeight="1" x14ac:dyDescent="0.15">
      <c r="B12" s="8" t="s">
        <v>58</v>
      </c>
      <c r="C12" s="18">
        <f>C9*C11</f>
        <v>100000</v>
      </c>
      <c r="D12" s="8" t="s">
        <v>59</v>
      </c>
      <c r="E12" s="19">
        <f>C9*E11</f>
        <v>20000</v>
      </c>
      <c r="F12" s="8" t="s">
        <v>60</v>
      </c>
      <c r="G12" s="20">
        <v>0</v>
      </c>
      <c r="H12" s="8" t="s">
        <v>61</v>
      </c>
      <c r="I12" s="11" t="s">
        <v>62</v>
      </c>
      <c r="J12" s="21" t="s">
        <v>63</v>
      </c>
      <c r="K12" s="22">
        <v>0</v>
      </c>
      <c r="M12" s="52"/>
    </row>
    <row r="13" spans="1:13" ht="20.25" customHeight="1" x14ac:dyDescent="0.15">
      <c r="B13" s="23"/>
      <c r="C13" s="24"/>
      <c r="D13" s="23"/>
      <c r="E13" s="25"/>
      <c r="F13" s="23"/>
      <c r="G13" s="23"/>
      <c r="H13" s="23"/>
      <c r="I13" s="23"/>
      <c r="J13" s="23"/>
      <c r="K13" s="23"/>
    </row>
    <row r="14" spans="1:13" ht="20.25" customHeight="1" thickBot="1" x14ac:dyDescent="0.2">
      <c r="B14" s="92" t="s">
        <v>64</v>
      </c>
      <c r="C14" s="92"/>
      <c r="D14" s="92"/>
      <c r="E14" s="92"/>
      <c r="F14" s="92"/>
      <c r="G14" s="92"/>
      <c r="H14" s="92"/>
      <c r="I14" s="92"/>
      <c r="J14" s="92"/>
      <c r="K14" s="92"/>
    </row>
    <row r="15" spans="1:13" ht="20.25" customHeight="1" x14ac:dyDescent="0.15">
      <c r="B15" s="26" t="s">
        <v>65</v>
      </c>
      <c r="C15" s="27">
        <f>-PMT(I10/VLOOKUP($I$12,参数范围!$K$3:$L$7,2,0),E9/VLOOKUP($I$12,参数范围!$K$3:$M$10,3,0),C9*(1-0),G10,I11)</f>
        <v>90435.358729353611</v>
      </c>
      <c r="D15" s="28" t="s">
        <v>66</v>
      </c>
      <c r="E15" s="29">
        <f>F45+G32</f>
        <v>1000000.0000000001</v>
      </c>
      <c r="F15" s="28" t="s">
        <v>67</v>
      </c>
      <c r="G15" s="30">
        <f>ABS(L20)</f>
        <v>880000</v>
      </c>
      <c r="H15" s="28" t="s">
        <v>68</v>
      </c>
      <c r="I15" s="31">
        <f>G16/G15</f>
        <v>3.8826793197448632E-2</v>
      </c>
      <c r="J15" s="28" t="s">
        <v>69</v>
      </c>
      <c r="K15" s="32">
        <f>IRR(L20:L32,7%)*6</f>
        <v>0.11701636065896537</v>
      </c>
    </row>
    <row r="16" spans="1:13" ht="20.25" customHeight="1" thickBot="1" x14ac:dyDescent="0.2">
      <c r="B16" s="33" t="s">
        <v>70</v>
      </c>
      <c r="C16" s="34">
        <f>D45</f>
        <v>1085224.3047522434</v>
      </c>
      <c r="D16" s="35" t="s">
        <v>71</v>
      </c>
      <c r="E16" s="36">
        <f>E45</f>
        <v>85224.304752243523</v>
      </c>
      <c r="F16" s="35" t="s">
        <v>72</v>
      </c>
      <c r="G16" s="37">
        <f>L20+NPV($I$10/VLOOKUP($I$12,参数范围!$K$3:$N$7,2,0),汇总!L21:L32)</f>
        <v>34167.578013754799</v>
      </c>
      <c r="H16" s="35" t="s">
        <v>73</v>
      </c>
      <c r="I16" s="38"/>
      <c r="J16" s="35"/>
      <c r="K16" s="39"/>
    </row>
    <row r="18" spans="2:20" x14ac:dyDescent="0.15">
      <c r="B18" s="91">
        <v>1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53"/>
      <c r="N18" s="53"/>
      <c r="O18" s="53"/>
      <c r="P18" s="53"/>
      <c r="Q18" s="53"/>
      <c r="R18" s="53"/>
      <c r="S18" s="53"/>
      <c r="T18" s="53"/>
    </row>
    <row r="19" spans="2:20" ht="30.75" customHeight="1" x14ac:dyDescent="0.15">
      <c r="B19" s="40" t="s">
        <v>76</v>
      </c>
      <c r="C19" s="40" t="s">
        <v>77</v>
      </c>
      <c r="D19" s="41" t="s">
        <v>78</v>
      </c>
      <c r="E19" s="40" t="s">
        <v>41</v>
      </c>
      <c r="F19" s="40" t="s">
        <v>44</v>
      </c>
      <c r="G19" s="41" t="s">
        <v>79</v>
      </c>
      <c r="H19" s="41" t="s">
        <v>80</v>
      </c>
      <c r="I19" s="41" t="s">
        <v>81</v>
      </c>
      <c r="J19" s="41" t="s">
        <v>82</v>
      </c>
      <c r="K19" s="41" t="s">
        <v>83</v>
      </c>
      <c r="L19" s="40" t="s">
        <v>84</v>
      </c>
      <c r="M19" s="54"/>
      <c r="N19" s="54"/>
      <c r="O19" s="54"/>
      <c r="P19" s="54"/>
      <c r="Q19" s="54"/>
      <c r="R19" s="54"/>
      <c r="S19" s="54"/>
      <c r="T19" s="54"/>
    </row>
    <row r="20" spans="2:20" x14ac:dyDescent="0.15">
      <c r="B20" s="42" t="s">
        <v>42</v>
      </c>
      <c r="C20" s="43">
        <f>E10</f>
        <v>41122</v>
      </c>
      <c r="D20" s="44">
        <f>IF(I11=0,E12+C12,E12+C12+C15)</f>
        <v>120000</v>
      </c>
      <c r="E20" s="45"/>
      <c r="F20" s="46">
        <f>IF(I11=0,0,C16)</f>
        <v>0</v>
      </c>
      <c r="G20" s="46">
        <f>IF(I11=0,C9,C9-F20)</f>
        <v>1000000</v>
      </c>
      <c r="H20" s="46">
        <f>E14</f>
        <v>0</v>
      </c>
      <c r="I20" s="46">
        <f>C9</f>
        <v>1000000</v>
      </c>
      <c r="J20" s="46">
        <f t="shared" ref="J20:J44" si="0">D20+H20</f>
        <v>120000</v>
      </c>
      <c r="K20" s="46">
        <f t="shared" ref="K20:K44" si="1">I20</f>
        <v>1000000</v>
      </c>
      <c r="L20" s="47">
        <f t="shared" ref="L20:L44" si="2">J20-K20</f>
        <v>-880000</v>
      </c>
      <c r="M20" s="55"/>
      <c r="N20" s="55"/>
      <c r="O20" s="55"/>
      <c r="P20" s="55"/>
      <c r="Q20" s="55"/>
      <c r="R20" s="55"/>
      <c r="S20" s="55"/>
      <c r="T20" s="55"/>
    </row>
    <row r="21" spans="2:20" x14ac:dyDescent="0.15">
      <c r="B21" s="48">
        <v>1</v>
      </c>
      <c r="C21" s="49">
        <f>DATE(YEAR(C20),MONTH(C20)+VLOOKUP($I$12,参数范围!$K$3:$M$7,3,0),DAY(1))</f>
        <v>41183</v>
      </c>
      <c r="D21" s="44">
        <f>$C$15</f>
        <v>90435.358729353611</v>
      </c>
      <c r="E21" s="46">
        <f>G20*$I$10/VLOOKUP($I$12,参数范围!$K$3:$N$7,2,0)</f>
        <v>12812.5</v>
      </c>
      <c r="F21" s="46">
        <f t="shared" ref="F21:F44" si="3">D21-E21</f>
        <v>77622.858729353611</v>
      </c>
      <c r="G21" s="46">
        <f>G20-F21</f>
        <v>922377.14127064636</v>
      </c>
      <c r="H21" s="46">
        <f t="shared" ref="H21:H44" si="4">IF(B21=$D$5*$F$5,$B$6,0)</f>
        <v>0</v>
      </c>
      <c r="I21" s="46">
        <f t="shared" ref="I21:I44" si="5">IF(B21=$D$5*$F$5,$D$7+$D$7*$D$5*$H$6,0)</f>
        <v>0</v>
      </c>
      <c r="J21" s="46">
        <f t="shared" si="0"/>
        <v>90435.358729353611</v>
      </c>
      <c r="K21" s="46">
        <f t="shared" si="1"/>
        <v>0</v>
      </c>
      <c r="L21" s="47">
        <f t="shared" si="2"/>
        <v>90435.358729353611</v>
      </c>
      <c r="M21" s="55"/>
      <c r="N21" s="55"/>
      <c r="O21" s="55"/>
      <c r="P21" s="55"/>
      <c r="Q21" s="55"/>
      <c r="R21" s="55"/>
      <c r="S21" s="55"/>
      <c r="T21" s="55"/>
    </row>
    <row r="22" spans="2:20" x14ac:dyDescent="0.15">
      <c r="B22" s="48">
        <v>2</v>
      </c>
      <c r="C22" s="49">
        <f>DATE(YEAR(C21),MONTH(C21)+VLOOKUP($I$12,参数范围!$K$3:$M$7,3,0),DAY(1))</f>
        <v>41244</v>
      </c>
      <c r="D22" s="44">
        <f t="shared" ref="D22:D32" si="6">$C$15</f>
        <v>90435.358729353611</v>
      </c>
      <c r="E22" s="46">
        <f>G21*$I$10/VLOOKUP($I$12,参数范围!$K$3:$N$7,2,0)</f>
        <v>11817.957122530155</v>
      </c>
      <c r="F22" s="46">
        <f t="shared" si="3"/>
        <v>78617.401606823463</v>
      </c>
      <c r="G22" s="46">
        <f>G21-F22</f>
        <v>843759.73966382293</v>
      </c>
      <c r="H22" s="46">
        <f t="shared" si="4"/>
        <v>0</v>
      </c>
      <c r="I22" s="46">
        <f t="shared" si="5"/>
        <v>0</v>
      </c>
      <c r="J22" s="46">
        <f t="shared" si="0"/>
        <v>90435.358729353611</v>
      </c>
      <c r="K22" s="46">
        <f t="shared" si="1"/>
        <v>0</v>
      </c>
      <c r="L22" s="47">
        <f t="shared" si="2"/>
        <v>90435.358729353611</v>
      </c>
      <c r="M22" s="55"/>
      <c r="N22" s="55"/>
      <c r="O22" s="55"/>
      <c r="P22" s="55"/>
      <c r="Q22" s="55"/>
      <c r="R22" s="55"/>
      <c r="S22" s="55"/>
      <c r="T22" s="55"/>
    </row>
    <row r="23" spans="2:20" x14ac:dyDescent="0.15">
      <c r="B23" s="48">
        <v>3</v>
      </c>
      <c r="C23" s="49">
        <f>DATE(YEAR(C22),MONTH(C22)+VLOOKUP($I$12,参数范围!$K$3:$M$7,3,0),DAY(1))</f>
        <v>41306</v>
      </c>
      <c r="D23" s="44">
        <f t="shared" si="6"/>
        <v>90435.358729353611</v>
      </c>
      <c r="E23" s="46">
        <f>G22*$I$10/VLOOKUP($I$12,参数范围!$K$3:$N$7,2,0)</f>
        <v>10810.671664442731</v>
      </c>
      <c r="F23" s="46">
        <f>D23-E23</f>
        <v>79624.687064910875</v>
      </c>
      <c r="G23" s="46">
        <f t="shared" ref="G23:G44" si="7">G22-F23</f>
        <v>764135.05259891204</v>
      </c>
      <c r="H23" s="46">
        <f t="shared" si="4"/>
        <v>0</v>
      </c>
      <c r="I23" s="46">
        <f t="shared" si="5"/>
        <v>0</v>
      </c>
      <c r="J23" s="46">
        <f t="shared" si="0"/>
        <v>90435.358729353611</v>
      </c>
      <c r="K23" s="46">
        <f t="shared" si="1"/>
        <v>0</v>
      </c>
      <c r="L23" s="47">
        <f t="shared" si="2"/>
        <v>90435.358729353611</v>
      </c>
      <c r="M23" s="53"/>
      <c r="N23" s="53"/>
      <c r="O23" s="53"/>
      <c r="P23" s="53"/>
      <c r="Q23" s="53"/>
      <c r="R23" s="53"/>
      <c r="S23" s="53"/>
      <c r="T23" s="53"/>
    </row>
    <row r="24" spans="2:20" x14ac:dyDescent="0.15">
      <c r="B24" s="48">
        <v>4</v>
      </c>
      <c r="C24" s="49">
        <f>DATE(YEAR(C23),MONTH(C23)+VLOOKUP($I$12,参数范围!$K$3:$M$7,3,0),DAY(1))</f>
        <v>41365</v>
      </c>
      <c r="D24" s="44">
        <f t="shared" si="6"/>
        <v>90435.358729353611</v>
      </c>
      <c r="E24" s="46">
        <f>G23*$I$10/VLOOKUP($I$12,参数范围!$K$3:$N$7,2,0)</f>
        <v>9790.4803614235607</v>
      </c>
      <c r="F24" s="46">
        <f t="shared" si="3"/>
        <v>80644.878367930054</v>
      </c>
      <c r="G24" s="46">
        <f t="shared" si="7"/>
        <v>683490.17423098197</v>
      </c>
      <c r="H24" s="46">
        <f t="shared" si="4"/>
        <v>0</v>
      </c>
      <c r="I24" s="46">
        <f t="shared" si="5"/>
        <v>0</v>
      </c>
      <c r="J24" s="46">
        <f t="shared" si="0"/>
        <v>90435.358729353611</v>
      </c>
      <c r="K24" s="46">
        <f t="shared" si="1"/>
        <v>0</v>
      </c>
      <c r="L24" s="47">
        <f t="shared" si="2"/>
        <v>90435.358729353611</v>
      </c>
      <c r="M24" s="53"/>
    </row>
    <row r="25" spans="2:20" x14ac:dyDescent="0.15">
      <c r="B25" s="48">
        <v>5</v>
      </c>
      <c r="C25" s="49">
        <f>DATE(YEAR(C24),MONTH(C24)+VLOOKUP($I$12,参数范围!$K$3:$M$7,3,0),DAY(1))</f>
        <v>41426</v>
      </c>
      <c r="D25" s="44">
        <f t="shared" si="6"/>
        <v>90435.358729353611</v>
      </c>
      <c r="E25" s="46">
        <f>G24*$I$10/VLOOKUP($I$12,参数范围!$K$3:$N$7,2,0)</f>
        <v>8757.2178573344554</v>
      </c>
      <c r="F25" s="46">
        <f t="shared" si="3"/>
        <v>81678.140872019154</v>
      </c>
      <c r="G25" s="46">
        <f t="shared" si="7"/>
        <v>601812.03335896286</v>
      </c>
      <c r="H25" s="46">
        <f t="shared" si="4"/>
        <v>0</v>
      </c>
      <c r="I25" s="46">
        <f t="shared" si="5"/>
        <v>0</v>
      </c>
      <c r="J25" s="46">
        <f t="shared" si="0"/>
        <v>90435.358729353611</v>
      </c>
      <c r="K25" s="46">
        <f t="shared" si="1"/>
        <v>0</v>
      </c>
      <c r="L25" s="47">
        <f t="shared" si="2"/>
        <v>90435.358729353611</v>
      </c>
      <c r="M25" s="53"/>
    </row>
    <row r="26" spans="2:20" x14ac:dyDescent="0.15">
      <c r="B26" s="48">
        <v>6</v>
      </c>
      <c r="C26" s="49">
        <f>DATE(YEAR(C25),MONTH(C25)+VLOOKUP($I$12,参数范围!$K$3:$M$7,3,0),DAY(1))</f>
        <v>41487</v>
      </c>
      <c r="D26" s="44">
        <f t="shared" si="6"/>
        <v>90435.358729353611</v>
      </c>
      <c r="E26" s="46">
        <f>G25*$I$10/VLOOKUP($I$12,参数范围!$K$3:$N$7,2,0)</f>
        <v>7710.7166774117113</v>
      </c>
      <c r="F26" s="46">
        <f t="shared" si="3"/>
        <v>82724.642051941904</v>
      </c>
      <c r="G26" s="46">
        <f t="shared" si="7"/>
        <v>519087.39130702097</v>
      </c>
      <c r="H26" s="46">
        <f t="shared" si="4"/>
        <v>0</v>
      </c>
      <c r="I26" s="46">
        <f t="shared" si="5"/>
        <v>0</v>
      </c>
      <c r="J26" s="46">
        <f t="shared" si="0"/>
        <v>90435.358729353611</v>
      </c>
      <c r="K26" s="46">
        <f t="shared" si="1"/>
        <v>0</v>
      </c>
      <c r="L26" s="47">
        <f t="shared" si="2"/>
        <v>90435.358729353611</v>
      </c>
      <c r="M26" s="53"/>
    </row>
    <row r="27" spans="2:20" x14ac:dyDescent="0.15">
      <c r="B27" s="48">
        <v>7</v>
      </c>
      <c r="C27" s="49">
        <f>DATE(YEAR(C26),MONTH(C26)+VLOOKUP($I$12,参数范围!$K$3:$M$7,3,0),DAY(1))</f>
        <v>41548</v>
      </c>
      <c r="D27" s="44">
        <f t="shared" si="6"/>
        <v>90435.358729353611</v>
      </c>
      <c r="E27" s="46">
        <f>G26*$I$10/VLOOKUP($I$12,参数范围!$K$3:$N$7,2,0)</f>
        <v>6650.8072011212062</v>
      </c>
      <c r="F27" s="46">
        <f t="shared" si="3"/>
        <v>83784.551528232405</v>
      </c>
      <c r="G27" s="46">
        <f t="shared" si="7"/>
        <v>435302.83977878856</v>
      </c>
      <c r="H27" s="46">
        <f t="shared" si="4"/>
        <v>0</v>
      </c>
      <c r="I27" s="46">
        <f t="shared" si="5"/>
        <v>0</v>
      </c>
      <c r="J27" s="46">
        <f t="shared" si="0"/>
        <v>90435.358729353611</v>
      </c>
      <c r="K27" s="46">
        <f t="shared" si="1"/>
        <v>0</v>
      </c>
      <c r="L27" s="47">
        <f t="shared" si="2"/>
        <v>90435.358729353611</v>
      </c>
      <c r="M27" s="53"/>
    </row>
    <row r="28" spans="2:20" x14ac:dyDescent="0.15">
      <c r="B28" s="48">
        <v>8</v>
      </c>
      <c r="C28" s="49">
        <f>DATE(YEAR(C27),MONTH(C27)+VLOOKUP($I$12,参数范围!$K$3:$M$7,3,0),DAY(1))</f>
        <v>41609</v>
      </c>
      <c r="D28" s="44">
        <f t="shared" si="6"/>
        <v>90435.358729353611</v>
      </c>
      <c r="E28" s="46">
        <f>G27*$I$10/VLOOKUP($I$12,参数范围!$K$3:$N$7,2,0)</f>
        <v>5577.3176346657283</v>
      </c>
      <c r="F28" s="46">
        <f t="shared" si="3"/>
        <v>84858.041094687884</v>
      </c>
      <c r="G28" s="46">
        <f t="shared" si="7"/>
        <v>350444.79868410068</v>
      </c>
      <c r="H28" s="46">
        <f t="shared" si="4"/>
        <v>0</v>
      </c>
      <c r="I28" s="46">
        <f t="shared" si="5"/>
        <v>0</v>
      </c>
      <c r="J28" s="46">
        <f t="shared" si="0"/>
        <v>90435.358729353611</v>
      </c>
      <c r="K28" s="46">
        <f t="shared" si="1"/>
        <v>0</v>
      </c>
      <c r="L28" s="47">
        <f t="shared" si="2"/>
        <v>90435.358729353611</v>
      </c>
      <c r="M28" s="53"/>
    </row>
    <row r="29" spans="2:20" x14ac:dyDescent="0.15">
      <c r="B29" s="48">
        <v>9</v>
      </c>
      <c r="C29" s="49">
        <f>DATE(YEAR(C28),MONTH(C28)+VLOOKUP($I$12,参数范围!$K$3:$M$7,3,0),DAY(1))</f>
        <v>41671</v>
      </c>
      <c r="D29" s="44">
        <f t="shared" si="6"/>
        <v>90435.358729353611</v>
      </c>
      <c r="E29" s="46">
        <f>G28*$I$10/VLOOKUP($I$12,参数范围!$K$3:$N$7,2,0)</f>
        <v>4490.0739831400397</v>
      </c>
      <c r="F29" s="46">
        <f t="shared" si="3"/>
        <v>85945.284746213569</v>
      </c>
      <c r="G29" s="46">
        <f t="shared" si="7"/>
        <v>264499.5139378871</v>
      </c>
      <c r="H29" s="46">
        <f t="shared" si="4"/>
        <v>0</v>
      </c>
      <c r="I29" s="46">
        <f t="shared" si="5"/>
        <v>0</v>
      </c>
      <c r="J29" s="46">
        <f t="shared" si="0"/>
        <v>90435.358729353611</v>
      </c>
      <c r="K29" s="46">
        <f t="shared" si="1"/>
        <v>0</v>
      </c>
      <c r="L29" s="47">
        <f t="shared" si="2"/>
        <v>90435.358729353611</v>
      </c>
      <c r="M29" s="53"/>
    </row>
    <row r="30" spans="2:20" x14ac:dyDescent="0.15">
      <c r="B30" s="48">
        <v>10</v>
      </c>
      <c r="C30" s="49">
        <f>DATE(YEAR(C29),MONTH(C29)+VLOOKUP($I$12,参数范围!$K$3:$M$7,3,0),DAY(1))</f>
        <v>41730</v>
      </c>
      <c r="D30" s="44">
        <f t="shared" si="6"/>
        <v>90435.358729353611</v>
      </c>
      <c r="E30" s="46">
        <f>G29*$I$10/VLOOKUP($I$12,参数范围!$K$3:$N$7,2,0)</f>
        <v>3388.9000223291782</v>
      </c>
      <c r="F30" s="46">
        <f t="shared" si="3"/>
        <v>87046.458707024431</v>
      </c>
      <c r="G30" s="46">
        <f t="shared" si="7"/>
        <v>177453.05523086266</v>
      </c>
      <c r="H30" s="46">
        <f t="shared" si="4"/>
        <v>0</v>
      </c>
      <c r="I30" s="46">
        <f t="shared" si="5"/>
        <v>0</v>
      </c>
      <c r="J30" s="46">
        <f t="shared" si="0"/>
        <v>90435.358729353611</v>
      </c>
      <c r="K30" s="46">
        <f t="shared" si="1"/>
        <v>0</v>
      </c>
      <c r="L30" s="47">
        <f t="shared" si="2"/>
        <v>90435.358729353611</v>
      </c>
      <c r="M30" s="53"/>
    </row>
    <row r="31" spans="2:20" x14ac:dyDescent="0.15">
      <c r="B31" s="48">
        <v>11</v>
      </c>
      <c r="C31" s="49">
        <f>DATE(YEAR(C30),MONTH(C30)+VLOOKUP($I$12,参数范围!$K$3:$M$7,3,0),DAY(1))</f>
        <v>41791</v>
      </c>
      <c r="D31" s="44">
        <f t="shared" si="6"/>
        <v>90435.358729353611</v>
      </c>
      <c r="E31" s="46">
        <f>G30*$I$10/VLOOKUP($I$12,参数范围!$K$3:$N$7,2,0)</f>
        <v>2273.6172701454279</v>
      </c>
      <c r="F31" s="46">
        <f t="shared" si="3"/>
        <v>88161.741459208177</v>
      </c>
      <c r="G31" s="46">
        <f t="shared" si="7"/>
        <v>89291.313771654488</v>
      </c>
      <c r="H31" s="46">
        <f t="shared" si="4"/>
        <v>0</v>
      </c>
      <c r="I31" s="46">
        <f t="shared" si="5"/>
        <v>0</v>
      </c>
      <c r="J31" s="46">
        <f t="shared" si="0"/>
        <v>90435.358729353611</v>
      </c>
      <c r="K31" s="46">
        <f t="shared" si="1"/>
        <v>0</v>
      </c>
      <c r="L31" s="47">
        <f t="shared" si="2"/>
        <v>90435.358729353611</v>
      </c>
      <c r="M31" s="53"/>
    </row>
    <row r="32" spans="2:20" x14ac:dyDescent="0.15">
      <c r="B32" s="48">
        <v>12</v>
      </c>
      <c r="C32" s="49">
        <f>DATE(YEAR(C31),MONTH(C31)+VLOOKUP($I$12,参数范围!$K$3:$M$7,3,0),DAY(1))</f>
        <v>41852</v>
      </c>
      <c r="D32" s="44">
        <f t="shared" si="6"/>
        <v>90435.358729353611</v>
      </c>
      <c r="E32" s="46">
        <f>G31*$I$10/VLOOKUP($I$12,参数范围!$K$3:$N$7,2,0)</f>
        <v>1144.044957699323</v>
      </c>
      <c r="F32" s="46">
        <f t="shared" si="3"/>
        <v>89291.313771654284</v>
      </c>
      <c r="G32" s="46">
        <f t="shared" si="7"/>
        <v>2.0372681319713593E-10</v>
      </c>
      <c r="H32" s="46">
        <f t="shared" si="4"/>
        <v>0</v>
      </c>
      <c r="I32" s="46">
        <f>C12</f>
        <v>100000</v>
      </c>
      <c r="J32" s="46">
        <f t="shared" si="0"/>
        <v>90435.358729353611</v>
      </c>
      <c r="K32" s="46">
        <f t="shared" si="1"/>
        <v>100000</v>
      </c>
      <c r="L32" s="47">
        <f t="shared" si="2"/>
        <v>-9564.6412706463889</v>
      </c>
      <c r="M32" s="53"/>
    </row>
    <row r="33" spans="2:13" hidden="1" x14ac:dyDescent="0.15">
      <c r="B33" s="50">
        <v>13</v>
      </c>
      <c r="C33" s="49">
        <f>DATE(YEAR(C32),MONTH(C32)+VLOOKUP($I$12,参数范围!$K$3:$M$7,3,0),DAY(1))</f>
        <v>41913</v>
      </c>
      <c r="D33" s="44"/>
      <c r="E33" s="46">
        <f>G32*$I$10/VLOOKUP($I$12,参数范围!$K$3:$N$7,2,0)</f>
        <v>2.6102497940883037E-12</v>
      </c>
      <c r="F33" s="46">
        <f t="shared" si="3"/>
        <v>-2.6102497940883037E-12</v>
      </c>
      <c r="G33" s="46">
        <f t="shared" si="7"/>
        <v>2.0633706299122423E-10</v>
      </c>
      <c r="H33" s="46">
        <f t="shared" si="4"/>
        <v>0</v>
      </c>
      <c r="I33" s="46">
        <f t="shared" si="5"/>
        <v>0</v>
      </c>
      <c r="J33" s="46">
        <f t="shared" si="0"/>
        <v>0</v>
      </c>
      <c r="K33" s="46">
        <f t="shared" si="1"/>
        <v>0</v>
      </c>
      <c r="L33" s="47">
        <f t="shared" si="2"/>
        <v>0</v>
      </c>
      <c r="M33" s="53"/>
    </row>
    <row r="34" spans="2:13" hidden="1" x14ac:dyDescent="0.15">
      <c r="B34" s="50">
        <v>14</v>
      </c>
      <c r="C34" s="49">
        <f>DATE(YEAR(C33),MONTH(C33)+VLOOKUP($I$12,参数范围!$K$3:$M$7,3,0),DAY(1))</f>
        <v>41974</v>
      </c>
      <c r="D34" s="44"/>
      <c r="E34" s="46">
        <f>G33*$I$10/VLOOKUP($I$12,参数范围!$K$3:$N$7,2,0)</f>
        <v>2.6436936195750604E-12</v>
      </c>
      <c r="F34" s="46">
        <f t="shared" si="3"/>
        <v>-2.6436936195750604E-12</v>
      </c>
      <c r="G34" s="46">
        <f t="shared" si="7"/>
        <v>2.089807566107993E-10</v>
      </c>
      <c r="H34" s="46">
        <f t="shared" si="4"/>
        <v>0</v>
      </c>
      <c r="I34" s="46">
        <f t="shared" si="5"/>
        <v>0</v>
      </c>
      <c r="J34" s="46">
        <f t="shared" si="0"/>
        <v>0</v>
      </c>
      <c r="K34" s="46">
        <f t="shared" si="1"/>
        <v>0</v>
      </c>
      <c r="L34" s="47">
        <f t="shared" si="2"/>
        <v>0</v>
      </c>
      <c r="M34" s="53"/>
    </row>
    <row r="35" spans="2:13" hidden="1" x14ac:dyDescent="0.15">
      <c r="B35" s="50">
        <v>15</v>
      </c>
      <c r="C35" s="49">
        <f>DATE(YEAR(C34),MONTH(C34)+VLOOKUP($I$12,参数范围!$K$3:$M$7,3,0),DAY(1))</f>
        <v>42036</v>
      </c>
      <c r="D35" s="44"/>
      <c r="E35" s="46">
        <f>G34*$I$10/VLOOKUP($I$12,参数范围!$K$3:$N$7,2,0)</f>
        <v>2.6775659440758661E-12</v>
      </c>
      <c r="F35" s="46">
        <f t="shared" si="3"/>
        <v>-2.6775659440758661E-12</v>
      </c>
      <c r="G35" s="46">
        <f t="shared" si="7"/>
        <v>2.1165832255487516E-10</v>
      </c>
      <c r="H35" s="46">
        <f t="shared" si="4"/>
        <v>0</v>
      </c>
      <c r="I35" s="46">
        <f t="shared" si="5"/>
        <v>0</v>
      </c>
      <c r="J35" s="46">
        <f t="shared" si="0"/>
        <v>0</v>
      </c>
      <c r="K35" s="46">
        <f t="shared" si="1"/>
        <v>0</v>
      </c>
      <c r="L35" s="47">
        <f t="shared" si="2"/>
        <v>0</v>
      </c>
      <c r="M35" s="53"/>
    </row>
    <row r="36" spans="2:13" hidden="1" x14ac:dyDescent="0.15">
      <c r="B36" s="50">
        <v>16</v>
      </c>
      <c r="C36" s="49">
        <f>DATE(YEAR(C35),MONTH(C35)+VLOOKUP($I$12,参数范围!$K$3:$M$7,3,0),DAY(1))</f>
        <v>42095</v>
      </c>
      <c r="D36" s="44"/>
      <c r="E36" s="46">
        <f>G35*$I$10/VLOOKUP($I$12,参数范围!$K$3:$N$7,2,0)</f>
        <v>2.7118722577343382E-12</v>
      </c>
      <c r="F36" s="46">
        <f t="shared" si="3"/>
        <v>-2.7118722577343382E-12</v>
      </c>
      <c r="G36" s="46">
        <f t="shared" si="7"/>
        <v>2.1437019481260949E-10</v>
      </c>
      <c r="H36" s="46">
        <f t="shared" si="4"/>
        <v>0</v>
      </c>
      <c r="I36" s="46">
        <f t="shared" si="5"/>
        <v>0</v>
      </c>
      <c r="J36" s="46">
        <f t="shared" si="0"/>
        <v>0</v>
      </c>
      <c r="K36" s="46">
        <f t="shared" si="1"/>
        <v>0</v>
      </c>
      <c r="L36" s="47">
        <f t="shared" si="2"/>
        <v>0</v>
      </c>
      <c r="M36" s="53"/>
    </row>
    <row r="37" spans="2:13" hidden="1" x14ac:dyDescent="0.15">
      <c r="B37" s="50">
        <v>17</v>
      </c>
      <c r="C37" s="49">
        <f>DATE(YEAR(C36),MONTH(C36)+VLOOKUP($I$12,参数范围!$K$3:$M$7,3,0),DAY(1))</f>
        <v>42156</v>
      </c>
      <c r="D37" s="44"/>
      <c r="E37" s="46">
        <f>G36*$I$10/VLOOKUP($I$12,参数范围!$K$3:$N$7,2,0)</f>
        <v>2.7466181210365592E-12</v>
      </c>
      <c r="F37" s="46">
        <f t="shared" si="3"/>
        <v>-2.7466181210365592E-12</v>
      </c>
      <c r="G37" s="46">
        <f t="shared" si="7"/>
        <v>2.1711681293364604E-10</v>
      </c>
      <c r="H37" s="46">
        <f t="shared" si="4"/>
        <v>0</v>
      </c>
      <c r="I37" s="46">
        <f t="shared" si="5"/>
        <v>0</v>
      </c>
      <c r="J37" s="46">
        <f t="shared" si="0"/>
        <v>0</v>
      </c>
      <c r="K37" s="46">
        <f t="shared" si="1"/>
        <v>0</v>
      </c>
      <c r="L37" s="47">
        <f t="shared" si="2"/>
        <v>0</v>
      </c>
      <c r="M37" s="53"/>
    </row>
    <row r="38" spans="2:13" hidden="1" x14ac:dyDescent="0.15">
      <c r="B38" s="50">
        <v>18</v>
      </c>
      <c r="C38" s="49">
        <f>DATE(YEAR(C37),MONTH(C37)+VLOOKUP($I$12,参数范围!$K$3:$M$7,3,0),DAY(1))</f>
        <v>42217</v>
      </c>
      <c r="D38" s="44"/>
      <c r="E38" s="46">
        <f>G37*$I$10/VLOOKUP($I$12,参数范围!$K$3:$N$7,2,0)</f>
        <v>2.7818091657123395E-12</v>
      </c>
      <c r="F38" s="46">
        <f t="shared" si="3"/>
        <v>-2.7818091657123395E-12</v>
      </c>
      <c r="G38" s="46">
        <f t="shared" si="7"/>
        <v>2.1989862209935838E-10</v>
      </c>
      <c r="H38" s="46">
        <f t="shared" si="4"/>
        <v>0</v>
      </c>
      <c r="I38" s="46">
        <f t="shared" si="5"/>
        <v>0</v>
      </c>
      <c r="J38" s="46">
        <f t="shared" si="0"/>
        <v>0</v>
      </c>
      <c r="K38" s="46">
        <f t="shared" si="1"/>
        <v>0</v>
      </c>
      <c r="L38" s="47">
        <f t="shared" si="2"/>
        <v>0</v>
      </c>
      <c r="M38" s="53"/>
    </row>
    <row r="39" spans="2:13" hidden="1" x14ac:dyDescent="0.15">
      <c r="B39" s="50">
        <v>19</v>
      </c>
      <c r="C39" s="49">
        <f>DATE(YEAR(C38),MONTH(C38)+VLOOKUP($I$12,参数范围!$K$3:$M$7,3,0),DAY(1))</f>
        <v>42278</v>
      </c>
      <c r="D39" s="44"/>
      <c r="E39" s="46">
        <f>G38*$I$10/VLOOKUP($I$12,参数范围!$K$3:$N$7,2,0)</f>
        <v>2.8174510956480288E-12</v>
      </c>
      <c r="F39" s="46">
        <f t="shared" si="3"/>
        <v>-2.8174510956480288E-12</v>
      </c>
      <c r="G39" s="46">
        <f t="shared" si="7"/>
        <v>2.2271607319500642E-10</v>
      </c>
      <c r="H39" s="46">
        <f t="shared" si="4"/>
        <v>0</v>
      </c>
      <c r="I39" s="46">
        <f t="shared" si="5"/>
        <v>0</v>
      </c>
      <c r="J39" s="46">
        <f t="shared" si="0"/>
        <v>0</v>
      </c>
      <c r="K39" s="46">
        <f t="shared" si="1"/>
        <v>0</v>
      </c>
      <c r="L39" s="47">
        <f t="shared" si="2"/>
        <v>0</v>
      </c>
      <c r="M39" s="53"/>
    </row>
    <row r="40" spans="2:13" hidden="1" x14ac:dyDescent="0.15">
      <c r="B40" s="50">
        <v>20</v>
      </c>
      <c r="C40" s="49">
        <f>DATE(YEAR(C39),MONTH(C39)+VLOOKUP($I$12,参数范围!$K$3:$M$7,3,0),DAY(1))</f>
        <v>42339</v>
      </c>
      <c r="D40" s="44"/>
      <c r="E40" s="46">
        <f>G39*$I$10/VLOOKUP($I$12,参数范围!$K$3:$N$7,2,0)</f>
        <v>2.8535496878110194E-12</v>
      </c>
      <c r="F40" s="46">
        <f t="shared" si="3"/>
        <v>-2.8535496878110194E-12</v>
      </c>
      <c r="G40" s="46">
        <f t="shared" si="7"/>
        <v>2.2556962288281743E-10</v>
      </c>
      <c r="H40" s="46">
        <f t="shared" si="4"/>
        <v>0</v>
      </c>
      <c r="I40" s="46">
        <f t="shared" si="5"/>
        <v>0</v>
      </c>
      <c r="J40" s="46">
        <f t="shared" si="0"/>
        <v>0</v>
      </c>
      <c r="K40" s="46">
        <f t="shared" si="1"/>
        <v>0</v>
      </c>
      <c r="L40" s="47">
        <f t="shared" si="2"/>
        <v>0</v>
      </c>
      <c r="M40" s="53"/>
    </row>
    <row r="41" spans="2:13" hidden="1" x14ac:dyDescent="0.15">
      <c r="B41" s="50">
        <v>21</v>
      </c>
      <c r="C41" s="49">
        <f>DATE(YEAR(C40),MONTH(C40)+VLOOKUP($I$12,参数范围!$K$3:$M$7,3,0),DAY(1))</f>
        <v>42401</v>
      </c>
      <c r="D41" s="44"/>
      <c r="E41" s="46">
        <f>G40*$I$10/VLOOKUP($I$12,参数范围!$K$3:$N$7,2,0)</f>
        <v>2.8901107931860982E-12</v>
      </c>
      <c r="F41" s="46">
        <f t="shared" si="3"/>
        <v>-2.8901107931860982E-12</v>
      </c>
      <c r="G41" s="46">
        <f t="shared" si="7"/>
        <v>2.2845973367600353E-10</v>
      </c>
      <c r="H41" s="46">
        <f t="shared" si="4"/>
        <v>0</v>
      </c>
      <c r="I41" s="46">
        <f t="shared" si="5"/>
        <v>0</v>
      </c>
      <c r="J41" s="46">
        <f t="shared" si="0"/>
        <v>0</v>
      </c>
      <c r="K41" s="46">
        <f t="shared" si="1"/>
        <v>0</v>
      </c>
      <c r="L41" s="47">
        <f t="shared" si="2"/>
        <v>0</v>
      </c>
      <c r="M41" s="53"/>
    </row>
    <row r="42" spans="2:13" hidden="1" x14ac:dyDescent="0.15">
      <c r="B42" s="50">
        <v>22</v>
      </c>
      <c r="C42" s="49">
        <f>DATE(YEAR(C41),MONTH(C41)+VLOOKUP($I$12,参数范围!$K$3:$M$7,3,0),DAY(1))</f>
        <v>42461</v>
      </c>
      <c r="D42" s="44"/>
      <c r="E42" s="46">
        <f>G41*$I$10/VLOOKUP($I$12,参数范围!$K$3:$N$7,2,0)</f>
        <v>2.9271403377237953E-12</v>
      </c>
      <c r="F42" s="46">
        <f t="shared" si="3"/>
        <v>-2.9271403377237953E-12</v>
      </c>
      <c r="G42" s="46">
        <f t="shared" si="7"/>
        <v>2.3138687401372733E-10</v>
      </c>
      <c r="H42" s="46">
        <f t="shared" si="4"/>
        <v>0</v>
      </c>
      <c r="I42" s="46">
        <f t="shared" si="5"/>
        <v>0</v>
      </c>
      <c r="J42" s="46">
        <f t="shared" si="0"/>
        <v>0</v>
      </c>
      <c r="K42" s="46">
        <f t="shared" si="1"/>
        <v>0</v>
      </c>
      <c r="L42" s="47">
        <f t="shared" si="2"/>
        <v>0</v>
      </c>
      <c r="M42" s="53"/>
    </row>
    <row r="43" spans="2:13" hidden="1" x14ac:dyDescent="0.15">
      <c r="B43" s="50">
        <v>23</v>
      </c>
      <c r="C43" s="49">
        <f>DATE(YEAR(C42),MONTH(C42)+VLOOKUP($I$12,参数范围!$K$3:$M$7,3,0),DAY(1))</f>
        <v>42522</v>
      </c>
      <c r="D43" s="44"/>
      <c r="E43" s="46">
        <f>G42*$I$10/VLOOKUP($I$12,参数范围!$K$3:$N$7,2,0)</f>
        <v>2.9646443233008812E-12</v>
      </c>
      <c r="F43" s="46">
        <f t="shared" si="3"/>
        <v>-2.9646443233008812E-12</v>
      </c>
      <c r="G43" s="46">
        <f t="shared" si="7"/>
        <v>2.3435151833702821E-10</v>
      </c>
      <c r="H43" s="46">
        <f t="shared" si="4"/>
        <v>0</v>
      </c>
      <c r="I43" s="46">
        <f t="shared" si="5"/>
        <v>0</v>
      </c>
      <c r="J43" s="46">
        <f t="shared" si="0"/>
        <v>0</v>
      </c>
      <c r="K43" s="46">
        <f t="shared" si="1"/>
        <v>0</v>
      </c>
      <c r="L43" s="47">
        <f t="shared" si="2"/>
        <v>0</v>
      </c>
      <c r="M43" s="53"/>
    </row>
    <row r="44" spans="2:13" hidden="1" x14ac:dyDescent="0.15">
      <c r="B44" s="50">
        <v>24</v>
      </c>
      <c r="C44" s="49">
        <f>DATE(YEAR(C43),MONTH(C43)+VLOOKUP($I$12,参数范围!$K$3:$M$7,3,0),DAY(1))</f>
        <v>42583</v>
      </c>
      <c r="D44" s="44"/>
      <c r="E44" s="46">
        <f>G43*$I$10/VLOOKUP($I$12,参数范围!$K$3:$N$7,2,0)</f>
        <v>3.0026288286931743E-12</v>
      </c>
      <c r="F44" s="46">
        <f t="shared" si="3"/>
        <v>-3.0026288286931743E-12</v>
      </c>
      <c r="G44" s="46">
        <f t="shared" si="7"/>
        <v>2.3735414716572141E-10</v>
      </c>
      <c r="H44" s="46">
        <f t="shared" si="4"/>
        <v>0</v>
      </c>
      <c r="I44" s="46">
        <f t="shared" si="5"/>
        <v>0</v>
      </c>
      <c r="J44" s="46">
        <f t="shared" si="0"/>
        <v>0</v>
      </c>
      <c r="K44" s="46">
        <f t="shared" si="1"/>
        <v>0</v>
      </c>
      <c r="L44" s="47">
        <f t="shared" si="2"/>
        <v>0</v>
      </c>
      <c r="M44" s="53"/>
    </row>
    <row r="45" spans="2:13" x14ac:dyDescent="0.15">
      <c r="B45" s="42" t="s">
        <v>43</v>
      </c>
      <c r="C45" s="42"/>
      <c r="D45" s="44">
        <f>SUM(D21:D32)</f>
        <v>1085224.3047522434</v>
      </c>
      <c r="E45" s="44">
        <f>SUM(E21:E44)</f>
        <v>85224.304752243523</v>
      </c>
      <c r="F45" s="44">
        <f>SUM(F20:F44)</f>
        <v>999999.99999999988</v>
      </c>
      <c r="G45" s="44"/>
      <c r="H45" s="44"/>
      <c r="I45" s="45"/>
      <c r="J45" s="45"/>
      <c r="K45" s="45"/>
      <c r="L45" s="45"/>
      <c r="M45" s="53"/>
    </row>
    <row r="46" spans="2:13" x14ac:dyDescent="0.15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47" spans="2:13" x14ac:dyDescent="0.15"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2:13" x14ac:dyDescent="0.15"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</row>
    <row r="49" spans="2:13" x14ac:dyDescent="0.15"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</row>
    <row r="50" spans="2:13" x14ac:dyDescent="0.15"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</row>
    <row r="51" spans="2:13" x14ac:dyDescent="0.15"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</row>
    <row r="52" spans="2:13" x14ac:dyDescent="0.15"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</row>
    <row r="53" spans="2:13" x14ac:dyDescent="0.15"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</row>
    <row r="54" spans="2:13" x14ac:dyDescent="0.15"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</row>
    <row r="55" spans="2:13" x14ac:dyDescent="0.15"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</row>
    <row r="56" spans="2:13" x14ac:dyDescent="0.15"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</row>
    <row r="57" spans="2:13" x14ac:dyDescent="0.15"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</row>
    <row r="58" spans="2:13" x14ac:dyDescent="0.15"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2:13" x14ac:dyDescent="0.15"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</row>
    <row r="60" spans="2:13" x14ac:dyDescent="0.15"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</row>
    <row r="61" spans="2:13" x14ac:dyDescent="0.15"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2:13" x14ac:dyDescent="0.15"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2:13" x14ac:dyDescent="0.15"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2:13" x14ac:dyDescent="0.15"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2:13" x14ac:dyDescent="0.15"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2:13" x14ac:dyDescent="0.15"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2:13" x14ac:dyDescent="0.15"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2:13" x14ac:dyDescent="0.15"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</row>
    <row r="69" spans="2:13" x14ac:dyDescent="0.15"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2:13" x14ac:dyDescent="0.15"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2:13" x14ac:dyDescent="0.15"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2:13" x14ac:dyDescent="0.15"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2:13" x14ac:dyDescent="0.15"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2:13" x14ac:dyDescent="0.15"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2:13" x14ac:dyDescent="0.15"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2:13" x14ac:dyDescent="0.15"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2:13" x14ac:dyDescent="0.15"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</row>
    <row r="78" spans="2:13" x14ac:dyDescent="0.15"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2:13" x14ac:dyDescent="0.15"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2:13" x14ac:dyDescent="0.15"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2:13" x14ac:dyDescent="0.15"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2:13" x14ac:dyDescent="0.15"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2:13" x14ac:dyDescent="0.15"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2:13" x14ac:dyDescent="0.15"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2:13" x14ac:dyDescent="0.15"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2:13" x14ac:dyDescent="0.15"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2:13" x14ac:dyDescent="0.15"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2:13" x14ac:dyDescent="0.15"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2:13" x14ac:dyDescent="0.15"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2:13" x14ac:dyDescent="0.15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2:13" x14ac:dyDescent="0.15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2:13" x14ac:dyDescent="0.15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</row>
    <row r="93" spans="2:13" x14ac:dyDescent="0.15"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</row>
    <row r="94" spans="2:13" x14ac:dyDescent="0.15"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</row>
    <row r="95" spans="2:13" x14ac:dyDescent="0.15"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</row>
    <row r="96" spans="2:13" x14ac:dyDescent="0.15"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</row>
    <row r="97" spans="2:13" x14ac:dyDescent="0.15"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</row>
    <row r="98" spans="2:13" x14ac:dyDescent="0.15"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</row>
    <row r="99" spans="2:13" x14ac:dyDescent="0.15"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2:13" x14ac:dyDescent="0.15"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</row>
    <row r="101" spans="2:13" x14ac:dyDescent="0.15"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</row>
    <row r="102" spans="2:13" x14ac:dyDescent="0.15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</row>
    <row r="103" spans="2:13" x14ac:dyDescent="0.15"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</row>
    <row r="104" spans="2:13" x14ac:dyDescent="0.15"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2:13" x14ac:dyDescent="0.15"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</row>
    <row r="106" spans="2:13" x14ac:dyDescent="0.15"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</row>
    <row r="107" spans="2:13" x14ac:dyDescent="0.15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</row>
    <row r="108" spans="2:13" x14ac:dyDescent="0.15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</row>
    <row r="109" spans="2:13" x14ac:dyDescent="0.15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</row>
    <row r="110" spans="2:13" x14ac:dyDescent="0.15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</row>
    <row r="111" spans="2:13" x14ac:dyDescent="0.15"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</row>
    <row r="112" spans="2:13" x14ac:dyDescent="0.15"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</row>
    <row r="113" spans="2:13" x14ac:dyDescent="0.15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</row>
    <row r="114" spans="2:13" x14ac:dyDescent="0.15"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2:13" x14ac:dyDescent="0.15"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</row>
    <row r="116" spans="2:13" x14ac:dyDescent="0.15"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</row>
    <row r="117" spans="2:13" x14ac:dyDescent="0.15"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</row>
    <row r="118" spans="2:13" x14ac:dyDescent="0.15"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</row>
    <row r="119" spans="2:13" x14ac:dyDescent="0.15"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</row>
    <row r="120" spans="2:13" x14ac:dyDescent="0.15"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</row>
    <row r="121" spans="2:13" x14ac:dyDescent="0.15"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</row>
    <row r="122" spans="2:13" x14ac:dyDescent="0.15"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</row>
    <row r="123" spans="2:13" x14ac:dyDescent="0.15"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</row>
    <row r="124" spans="2:13" x14ac:dyDescent="0.15"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2:13" x14ac:dyDescent="0.15"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2:13" x14ac:dyDescent="0.15"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</row>
    <row r="127" spans="2:13" x14ac:dyDescent="0.15"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</row>
    <row r="128" spans="2:13" x14ac:dyDescent="0.15"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</row>
    <row r="129" spans="2:13" x14ac:dyDescent="0.15"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</row>
    <row r="130" spans="2:13" x14ac:dyDescent="0.15"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</row>
    <row r="131" spans="2:13" x14ac:dyDescent="0.15"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</row>
    <row r="132" spans="2:13" x14ac:dyDescent="0.15"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</row>
    <row r="133" spans="2:13" x14ac:dyDescent="0.15"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</row>
    <row r="134" spans="2:13" x14ac:dyDescent="0.15"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</row>
    <row r="135" spans="2:13" x14ac:dyDescent="0.15"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</row>
    <row r="136" spans="2:13" x14ac:dyDescent="0.15"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</row>
    <row r="137" spans="2:13" x14ac:dyDescent="0.15"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2:13" x14ac:dyDescent="0.15"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</row>
    <row r="139" spans="2:13" x14ac:dyDescent="0.15"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</row>
    <row r="140" spans="2:13" x14ac:dyDescent="0.15"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</row>
    <row r="141" spans="2:13" x14ac:dyDescent="0.15"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</row>
    <row r="142" spans="2:13" x14ac:dyDescent="0.15"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</row>
    <row r="143" spans="2:13" x14ac:dyDescent="0.15"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</row>
    <row r="144" spans="2:13" x14ac:dyDescent="0.15"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</row>
    <row r="145" spans="2:13" x14ac:dyDescent="0.15"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</row>
  </sheetData>
  <mergeCells count="4">
    <mergeCell ref="A1:L1"/>
    <mergeCell ref="B18:L18"/>
    <mergeCell ref="B14:K14"/>
    <mergeCell ref="B8:K8"/>
  </mergeCells>
  <phoneticPr fontId="3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showGridLines="0" workbookViewId="0">
      <selection activeCell="C6" sqref="C6"/>
    </sheetView>
  </sheetViews>
  <sheetFormatPr defaultRowHeight="12" x14ac:dyDescent="0.15"/>
  <cols>
    <col min="1" max="1" width="15.125" style="53" bestFit="1" customWidth="1"/>
    <col min="2" max="2" width="13.375" style="53" customWidth="1"/>
    <col min="3" max="3" width="15.125" style="53" bestFit="1" customWidth="1"/>
    <col min="4" max="4" width="13" style="53" bestFit="1" customWidth="1"/>
    <col min="5" max="5" width="16.125" style="53" customWidth="1"/>
    <col min="6" max="6" width="9" style="53"/>
    <col min="7" max="7" width="23.25" style="53" customWidth="1"/>
    <col min="8" max="8" width="12.75" style="53" customWidth="1"/>
    <col min="9" max="9" width="13.375" style="56" customWidth="1"/>
    <col min="10" max="10" width="9" style="53"/>
    <col min="11" max="12" width="17.125" style="53" customWidth="1"/>
    <col min="13" max="14" width="13.75" style="53" customWidth="1"/>
    <col min="15" max="16384" width="9" style="53"/>
  </cols>
  <sheetData>
    <row r="1" spans="1:14" ht="12.75" thickBot="1" x14ac:dyDescent="0.2"/>
    <row r="2" spans="1:14" s="60" customFormat="1" ht="33.75" customHeight="1" thickTop="1" x14ac:dyDescent="0.15">
      <c r="A2" s="57" t="s">
        <v>7</v>
      </c>
      <c r="B2" s="58" t="s">
        <v>8</v>
      </c>
      <c r="C2" s="58" t="s">
        <v>12</v>
      </c>
      <c r="D2" s="58" t="s">
        <v>16</v>
      </c>
      <c r="E2" s="59" t="s">
        <v>22</v>
      </c>
      <c r="G2" s="94" t="s">
        <v>23</v>
      </c>
      <c r="H2" s="95"/>
      <c r="I2" s="96"/>
      <c r="K2" s="59" t="s">
        <v>16</v>
      </c>
      <c r="L2" s="59" t="s">
        <v>24</v>
      </c>
      <c r="M2" s="59" t="s">
        <v>25</v>
      </c>
      <c r="N2" s="59" t="s">
        <v>26</v>
      </c>
    </row>
    <row r="3" spans="1:14" ht="16.5" customHeight="1" x14ac:dyDescent="0.15">
      <c r="A3" s="61">
        <v>24</v>
      </c>
      <c r="B3" s="62" t="s">
        <v>9</v>
      </c>
      <c r="C3" s="62" t="s">
        <v>13</v>
      </c>
      <c r="D3" s="62" t="s">
        <v>17</v>
      </c>
      <c r="E3" s="63">
        <v>0</v>
      </c>
      <c r="G3" s="62" t="s">
        <v>9</v>
      </c>
      <c r="H3" s="62"/>
      <c r="I3" s="64">
        <v>0.08</v>
      </c>
      <c r="K3" s="63" t="s">
        <v>17</v>
      </c>
      <c r="L3" s="63">
        <v>12</v>
      </c>
      <c r="M3" s="63">
        <v>1</v>
      </c>
      <c r="N3" s="63">
        <v>30</v>
      </c>
    </row>
    <row r="4" spans="1:14" ht="16.5" customHeight="1" x14ac:dyDescent="0.15">
      <c r="A4" s="61">
        <v>36</v>
      </c>
      <c r="B4" s="62" t="s">
        <v>10</v>
      </c>
      <c r="C4" s="62" t="s">
        <v>14</v>
      </c>
      <c r="D4" s="62" t="s">
        <v>18</v>
      </c>
      <c r="E4" s="63">
        <v>1</v>
      </c>
      <c r="G4" s="62" t="s">
        <v>32</v>
      </c>
      <c r="H4" s="65" t="s">
        <v>27</v>
      </c>
      <c r="I4" s="66">
        <v>0.06</v>
      </c>
      <c r="K4" s="63" t="s">
        <v>18</v>
      </c>
      <c r="L4" s="63">
        <v>6</v>
      </c>
      <c r="M4" s="63">
        <v>2</v>
      </c>
      <c r="N4" s="63">
        <f>M4*$N$3</f>
        <v>60</v>
      </c>
    </row>
    <row r="5" spans="1:14" ht="16.5" customHeight="1" x14ac:dyDescent="0.15">
      <c r="A5" s="61">
        <v>48</v>
      </c>
      <c r="B5" s="62" t="s">
        <v>11</v>
      </c>
      <c r="C5" s="62" t="s">
        <v>15</v>
      </c>
      <c r="D5" s="62" t="s">
        <v>19</v>
      </c>
      <c r="E5" s="63"/>
      <c r="G5" s="62" t="s">
        <v>33</v>
      </c>
      <c r="H5" s="67" t="s">
        <v>85</v>
      </c>
      <c r="I5" s="66">
        <v>5.6000000000000001E-2</v>
      </c>
      <c r="K5" s="63" t="s">
        <v>19</v>
      </c>
      <c r="L5" s="63">
        <v>4</v>
      </c>
      <c r="M5" s="63">
        <v>3</v>
      </c>
      <c r="N5" s="63">
        <f>M5*$N$3</f>
        <v>90</v>
      </c>
    </row>
    <row r="6" spans="1:14" ht="16.5" customHeight="1" x14ac:dyDescent="0.15">
      <c r="A6" s="61">
        <v>60</v>
      </c>
      <c r="B6" s="62"/>
      <c r="C6" s="62"/>
      <c r="D6" s="62" t="s">
        <v>20</v>
      </c>
      <c r="E6" s="63"/>
      <c r="G6" s="62" t="s">
        <v>34</v>
      </c>
      <c r="H6" s="65" t="s">
        <v>28</v>
      </c>
      <c r="I6" s="66">
        <v>6.1499999999999999E-2</v>
      </c>
      <c r="K6" s="63" t="s">
        <v>20</v>
      </c>
      <c r="L6" s="63">
        <v>2</v>
      </c>
      <c r="M6" s="63">
        <v>6</v>
      </c>
      <c r="N6" s="63">
        <f>M6*$N$3</f>
        <v>180</v>
      </c>
    </row>
    <row r="7" spans="1:14" ht="16.5" customHeight="1" x14ac:dyDescent="0.15">
      <c r="A7" s="61">
        <v>72</v>
      </c>
      <c r="B7" s="62"/>
      <c r="C7" s="62"/>
      <c r="D7" s="62" t="s">
        <v>21</v>
      </c>
      <c r="E7" s="63"/>
      <c r="G7" s="62" t="s">
        <v>35</v>
      </c>
      <c r="H7" s="65" t="s">
        <v>29</v>
      </c>
      <c r="I7" s="66">
        <v>6.4000000000000001E-2</v>
      </c>
      <c r="K7" s="63" t="s">
        <v>21</v>
      </c>
      <c r="L7" s="63">
        <v>1</v>
      </c>
      <c r="M7" s="63">
        <v>12</v>
      </c>
      <c r="N7" s="63">
        <f>M7*$N$3</f>
        <v>360</v>
      </c>
    </row>
    <row r="8" spans="1:14" ht="16.5" customHeight="1" x14ac:dyDescent="0.15">
      <c r="A8" s="61"/>
      <c r="B8" s="62"/>
      <c r="C8" s="62"/>
      <c r="D8" s="62"/>
      <c r="E8" s="63"/>
      <c r="G8" s="62" t="s">
        <v>30</v>
      </c>
      <c r="H8" s="65" t="s">
        <v>31</v>
      </c>
      <c r="I8" s="66">
        <v>6.5500000000000003E-2</v>
      </c>
      <c r="K8" s="63"/>
      <c r="L8" s="63"/>
      <c r="M8" s="63"/>
      <c r="N8" s="63"/>
    </row>
    <row r="9" spans="1:14" ht="16.5" customHeight="1" x14ac:dyDescent="0.15">
      <c r="A9" s="61"/>
      <c r="B9" s="62"/>
      <c r="C9" s="62"/>
      <c r="D9" s="62"/>
      <c r="E9" s="63"/>
      <c r="G9" s="62"/>
      <c r="H9" s="62"/>
      <c r="I9" s="66"/>
      <c r="K9" s="63"/>
      <c r="L9" s="63"/>
      <c r="M9" s="63"/>
      <c r="N9" s="63"/>
    </row>
    <row r="10" spans="1:14" ht="16.5" customHeight="1" x14ac:dyDescent="0.15">
      <c r="A10" s="61"/>
      <c r="B10" s="62"/>
      <c r="C10" s="62"/>
      <c r="D10" s="62"/>
      <c r="E10" s="63"/>
      <c r="G10" s="62"/>
      <c r="H10" s="62"/>
      <c r="I10" s="66"/>
      <c r="K10" s="63"/>
      <c r="L10" s="63"/>
      <c r="M10" s="63"/>
      <c r="N10" s="63"/>
    </row>
    <row r="11" spans="1:14" ht="16.5" customHeight="1" x14ac:dyDescent="0.15">
      <c r="A11" s="61"/>
      <c r="B11" s="62"/>
      <c r="C11" s="62"/>
      <c r="D11" s="62"/>
      <c r="E11" s="63"/>
      <c r="G11" s="62"/>
      <c r="H11" s="62"/>
      <c r="I11" s="66"/>
      <c r="K11" s="63"/>
      <c r="L11" s="63"/>
      <c r="M11" s="63"/>
      <c r="N11" s="63"/>
    </row>
    <row r="12" spans="1:14" ht="16.5" customHeight="1" x14ac:dyDescent="0.15">
      <c r="A12" s="61"/>
      <c r="B12" s="62"/>
      <c r="C12" s="62"/>
      <c r="D12" s="62"/>
      <c r="E12" s="63"/>
      <c r="G12" s="62"/>
      <c r="H12" s="62"/>
      <c r="I12" s="66"/>
      <c r="K12" s="63"/>
      <c r="L12" s="63"/>
      <c r="M12" s="63"/>
      <c r="N12" s="63"/>
    </row>
    <row r="13" spans="1:14" ht="16.5" customHeight="1" x14ac:dyDescent="0.15">
      <c r="A13" s="61"/>
      <c r="B13" s="62"/>
      <c r="C13" s="62"/>
      <c r="D13" s="62"/>
      <c r="E13" s="63"/>
      <c r="G13" s="62"/>
      <c r="H13" s="62"/>
      <c r="I13" s="66"/>
      <c r="K13" s="63"/>
      <c r="L13" s="63"/>
      <c r="M13" s="63"/>
      <c r="N13" s="63"/>
    </row>
    <row r="14" spans="1:14" ht="16.5" customHeight="1" x14ac:dyDescent="0.15">
      <c r="A14" s="61"/>
      <c r="B14" s="62"/>
      <c r="C14" s="62"/>
      <c r="D14" s="62"/>
      <c r="E14" s="63"/>
      <c r="G14" s="62"/>
      <c r="H14" s="62"/>
      <c r="I14" s="66"/>
      <c r="K14" s="63"/>
      <c r="L14" s="63"/>
      <c r="M14" s="63"/>
      <c r="N14" s="63"/>
    </row>
    <row r="15" spans="1:14" ht="16.5" customHeight="1" x14ac:dyDescent="0.15">
      <c r="A15" s="61"/>
      <c r="B15" s="62"/>
      <c r="C15" s="62"/>
      <c r="D15" s="62"/>
      <c r="E15" s="63"/>
      <c r="G15" s="62"/>
      <c r="H15" s="62"/>
      <c r="I15" s="66"/>
      <c r="K15" s="63"/>
      <c r="L15" s="63"/>
      <c r="M15" s="63"/>
      <c r="N15" s="63"/>
    </row>
    <row r="16" spans="1:14" ht="16.5" customHeight="1" x14ac:dyDescent="0.15">
      <c r="A16" s="61"/>
      <c r="B16" s="62"/>
      <c r="C16" s="62"/>
      <c r="D16" s="62"/>
      <c r="E16" s="63"/>
      <c r="G16" s="62"/>
      <c r="H16" s="62"/>
      <c r="I16" s="66"/>
      <c r="K16" s="63"/>
      <c r="L16" s="63"/>
      <c r="M16" s="63"/>
      <c r="N16" s="63"/>
    </row>
    <row r="17" spans="1:14" ht="16.5" customHeight="1" x14ac:dyDescent="0.15">
      <c r="A17" s="61"/>
      <c r="B17" s="62"/>
      <c r="C17" s="62"/>
      <c r="D17" s="62"/>
      <c r="E17" s="63"/>
      <c r="G17" s="62"/>
      <c r="H17" s="62"/>
      <c r="I17" s="66"/>
      <c r="K17" s="63"/>
      <c r="L17" s="63"/>
      <c r="M17" s="63"/>
      <c r="N17" s="63"/>
    </row>
    <row r="18" spans="1:14" ht="16.5" customHeight="1" x14ac:dyDescent="0.15">
      <c r="A18" s="61"/>
      <c r="B18" s="62"/>
      <c r="C18" s="62"/>
      <c r="D18" s="62"/>
      <c r="E18" s="63"/>
      <c r="G18" s="62"/>
      <c r="H18" s="62"/>
      <c r="I18" s="66"/>
      <c r="K18" s="63"/>
      <c r="L18" s="63"/>
      <c r="M18" s="63"/>
      <c r="N18" s="63"/>
    </row>
    <row r="19" spans="1:14" ht="16.5" customHeight="1" x14ac:dyDescent="0.15">
      <c r="A19" s="61"/>
      <c r="B19" s="62"/>
      <c r="C19" s="62"/>
      <c r="D19" s="62"/>
      <c r="E19" s="63"/>
      <c r="G19" s="62"/>
      <c r="H19" s="62"/>
      <c r="I19" s="66"/>
      <c r="K19" s="63"/>
      <c r="L19" s="63"/>
      <c r="M19" s="63"/>
      <c r="N19" s="63"/>
    </row>
    <row r="20" spans="1:14" ht="16.5" customHeight="1" thickBot="1" x14ac:dyDescent="0.2">
      <c r="A20" s="68"/>
      <c r="B20" s="69"/>
      <c r="C20" s="69"/>
      <c r="D20" s="69"/>
      <c r="E20" s="70"/>
      <c r="G20" s="69"/>
      <c r="H20" s="69"/>
      <c r="I20" s="71"/>
      <c r="K20" s="70"/>
      <c r="L20" s="70"/>
      <c r="M20" s="70"/>
      <c r="N20" s="70"/>
    </row>
    <row r="21" spans="1:14" ht="12.75" thickTop="1" x14ac:dyDescent="0.15"/>
    <row r="23" spans="1:14" ht="13.5" x14ac:dyDescent="0.15">
      <c r="G23" s="72"/>
      <c r="H23" s="72"/>
      <c r="I23" s="72"/>
    </row>
    <row r="24" spans="1:14" x14ac:dyDescent="0.15">
      <c r="G24" s="73"/>
      <c r="H24" s="73"/>
      <c r="I24" s="73"/>
    </row>
    <row r="25" spans="1:14" x14ac:dyDescent="0.15">
      <c r="G25" s="73"/>
      <c r="H25" s="73"/>
      <c r="I25" s="73"/>
    </row>
    <row r="26" spans="1:14" x14ac:dyDescent="0.15">
      <c r="G26" s="73"/>
      <c r="H26" s="73"/>
      <c r="I26" s="73"/>
    </row>
    <row r="27" spans="1:14" x14ac:dyDescent="0.15">
      <c r="G27" s="73"/>
      <c r="H27" s="73"/>
      <c r="I27" s="73"/>
    </row>
    <row r="28" spans="1:14" x14ac:dyDescent="0.15">
      <c r="G28" s="73"/>
      <c r="H28" s="73"/>
      <c r="I28" s="73"/>
    </row>
  </sheetData>
  <mergeCells count="1">
    <mergeCell ref="G2:I2"/>
  </mergeCells>
  <phoneticPr fontId="3" type="noConversion"/>
  <pageMargins left="0.7" right="0.7" top="0.75" bottom="0.75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workbookViewId="0">
      <selection activeCell="C6" sqref="C6"/>
    </sheetView>
  </sheetViews>
  <sheetFormatPr defaultColWidth="16.25" defaultRowHeight="15.75" customHeight="1" x14ac:dyDescent="0.15"/>
  <cols>
    <col min="1" max="1" width="9" style="1" customWidth="1"/>
    <col min="2" max="16384" width="16.25" style="1"/>
  </cols>
  <sheetData>
    <row r="1" spans="2:8" ht="32.25" customHeight="1" x14ac:dyDescent="0.15">
      <c r="B1" s="100" t="s">
        <v>6</v>
      </c>
      <c r="C1" s="100"/>
      <c r="D1" s="100"/>
      <c r="E1" s="100"/>
      <c r="F1" s="100"/>
      <c r="G1" s="100"/>
      <c r="H1" s="100"/>
    </row>
    <row r="2" spans="2:8" ht="15.75" customHeight="1" x14ac:dyDescent="0.15">
      <c r="B2" s="74" t="s">
        <v>0</v>
      </c>
      <c r="C2" s="97" t="s">
        <v>1</v>
      </c>
      <c r="D2" s="98"/>
      <c r="E2" s="99"/>
      <c r="F2" s="98" t="s">
        <v>2</v>
      </c>
      <c r="G2" s="98"/>
      <c r="H2" s="99"/>
    </row>
    <row r="3" spans="2:8" ht="15.75" customHeight="1" x14ac:dyDescent="0.15">
      <c r="B3" s="75"/>
      <c r="C3" s="76" t="s">
        <v>3</v>
      </c>
      <c r="D3" s="77" t="s">
        <v>4</v>
      </c>
      <c r="E3" s="78" t="s">
        <v>5</v>
      </c>
      <c r="F3" s="77" t="s">
        <v>3</v>
      </c>
      <c r="G3" s="79" t="s">
        <v>4</v>
      </c>
      <c r="H3" s="78" t="s">
        <v>5</v>
      </c>
    </row>
    <row r="4" spans="2:8" ht="15.75" customHeight="1" x14ac:dyDescent="0.15">
      <c r="B4" s="80">
        <v>41095</v>
      </c>
      <c r="C4" s="81">
        <v>3.2500000000000001E-2</v>
      </c>
      <c r="D4" s="82">
        <v>0.03</v>
      </c>
      <c r="E4" s="83">
        <v>-2.5000000000000001E-3</v>
      </c>
      <c r="F4" s="82">
        <v>6.3100000000000003E-2</v>
      </c>
      <c r="G4" s="84">
        <v>0.06</v>
      </c>
      <c r="H4" s="83">
        <v>-3.0999999999999999E-3</v>
      </c>
    </row>
    <row r="5" spans="2:8" ht="15.75" customHeight="1" x14ac:dyDescent="0.15">
      <c r="B5" s="80">
        <v>41068</v>
      </c>
      <c r="C5" s="81">
        <v>3.5000000000000003E-2</v>
      </c>
      <c r="D5" s="82">
        <v>3.2500000000000001E-2</v>
      </c>
      <c r="E5" s="83">
        <v>-2.5000000000000001E-3</v>
      </c>
      <c r="F5" s="82">
        <v>6.5600000000000006E-2</v>
      </c>
      <c r="G5" s="84">
        <v>6.3100000000000003E-2</v>
      </c>
      <c r="H5" s="83">
        <v>-2.5000000000000001E-3</v>
      </c>
    </row>
    <row r="6" spans="2:8" ht="15.75" customHeight="1" x14ac:dyDescent="0.15">
      <c r="B6" s="80">
        <v>40731</v>
      </c>
      <c r="C6" s="81">
        <v>3.2500000000000001E-2</v>
      </c>
      <c r="D6" s="82">
        <v>3.5000000000000003E-2</v>
      </c>
      <c r="E6" s="83">
        <v>2.5000000000000001E-3</v>
      </c>
      <c r="F6" s="82">
        <v>6.3100000000000003E-2</v>
      </c>
      <c r="G6" s="84">
        <v>6.5600000000000006E-2</v>
      </c>
      <c r="H6" s="83">
        <v>2.5000000000000001E-3</v>
      </c>
    </row>
    <row r="7" spans="2:8" ht="15.75" customHeight="1" x14ac:dyDescent="0.15">
      <c r="B7" s="80">
        <v>40639</v>
      </c>
      <c r="C7" s="81">
        <v>0.03</v>
      </c>
      <c r="D7" s="82">
        <v>3.2500000000000001E-2</v>
      </c>
      <c r="E7" s="83">
        <v>2.5000000000000001E-3</v>
      </c>
      <c r="F7" s="82">
        <v>6.0600000000000001E-2</v>
      </c>
      <c r="G7" s="84">
        <v>6.3100000000000003E-2</v>
      </c>
      <c r="H7" s="83">
        <v>2.5000000000000001E-3</v>
      </c>
    </row>
    <row r="8" spans="2:8" ht="15.75" customHeight="1" x14ac:dyDescent="0.15">
      <c r="B8" s="80">
        <v>40583</v>
      </c>
      <c r="C8" s="81">
        <v>2.75E-2</v>
      </c>
      <c r="D8" s="82">
        <v>0.03</v>
      </c>
      <c r="E8" s="83">
        <v>2.5000000000000001E-3</v>
      </c>
      <c r="F8" s="82">
        <v>5.8099999999999999E-2</v>
      </c>
      <c r="G8" s="84">
        <v>6.0600000000000001E-2</v>
      </c>
      <c r="H8" s="83">
        <v>2.5000000000000001E-3</v>
      </c>
    </row>
    <row r="9" spans="2:8" ht="15.75" customHeight="1" x14ac:dyDescent="0.15">
      <c r="B9" s="80">
        <v>40538</v>
      </c>
      <c r="C9" s="81">
        <v>2.5000000000000001E-2</v>
      </c>
      <c r="D9" s="82">
        <v>2.75E-2</v>
      </c>
      <c r="E9" s="83">
        <v>2.5000000000000001E-3</v>
      </c>
      <c r="F9" s="82">
        <v>5.5599999999999997E-2</v>
      </c>
      <c r="G9" s="84">
        <v>5.8099999999999999E-2</v>
      </c>
      <c r="H9" s="83">
        <v>2.5000000000000001E-3</v>
      </c>
    </row>
    <row r="10" spans="2:8" ht="15.75" customHeight="1" x14ac:dyDescent="0.15">
      <c r="B10" s="80">
        <v>40471</v>
      </c>
      <c r="C10" s="81">
        <v>2.2499999999999999E-2</v>
      </c>
      <c r="D10" s="82">
        <v>2.5000000000000001E-2</v>
      </c>
      <c r="E10" s="83">
        <v>2.5000000000000001E-3</v>
      </c>
      <c r="F10" s="82">
        <v>5.3100000000000001E-2</v>
      </c>
      <c r="G10" s="84">
        <v>5.5599999999999997E-2</v>
      </c>
      <c r="H10" s="83">
        <v>2.5000000000000001E-3</v>
      </c>
    </row>
    <row r="11" spans="2:8" ht="15.75" customHeight="1" x14ac:dyDescent="0.15">
      <c r="B11" s="80">
        <v>39805</v>
      </c>
      <c r="C11" s="81">
        <v>2.52E-2</v>
      </c>
      <c r="D11" s="82">
        <v>2.2499999999999999E-2</v>
      </c>
      <c r="E11" s="83">
        <v>-2.7000000000000001E-3</v>
      </c>
      <c r="F11" s="82">
        <v>5.5800000000000002E-2</v>
      </c>
      <c r="G11" s="84">
        <v>5.3100000000000001E-2</v>
      </c>
      <c r="H11" s="83">
        <v>-2.7000000000000001E-3</v>
      </c>
    </row>
    <row r="12" spans="2:8" ht="15.75" customHeight="1" x14ac:dyDescent="0.15">
      <c r="B12" s="80">
        <v>39779</v>
      </c>
      <c r="C12" s="81">
        <v>3.5999999999999997E-2</v>
      </c>
      <c r="D12" s="82">
        <v>2.52E-2</v>
      </c>
      <c r="E12" s="83">
        <v>-1.0800000000000001E-2</v>
      </c>
      <c r="F12" s="82">
        <v>6.6600000000000006E-2</v>
      </c>
      <c r="G12" s="84">
        <v>5.5800000000000002E-2</v>
      </c>
      <c r="H12" s="83">
        <v>-1.0800000000000001E-2</v>
      </c>
    </row>
    <row r="13" spans="2:8" ht="15.75" customHeight="1" x14ac:dyDescent="0.15">
      <c r="B13" s="80">
        <v>39751</v>
      </c>
      <c r="C13" s="81">
        <v>3.8699999999999998E-2</v>
      </c>
      <c r="D13" s="82">
        <v>3.5999999999999997E-2</v>
      </c>
      <c r="E13" s="83">
        <v>-2.7000000000000001E-3</v>
      </c>
      <c r="F13" s="82">
        <v>6.93E-2</v>
      </c>
      <c r="G13" s="84">
        <v>6.6600000000000006E-2</v>
      </c>
      <c r="H13" s="83">
        <v>-2.7000000000000001E-3</v>
      </c>
    </row>
    <row r="14" spans="2:8" ht="15.75" customHeight="1" x14ac:dyDescent="0.15">
      <c r="B14" s="80">
        <v>39730</v>
      </c>
      <c r="C14" s="81">
        <v>4.1399999999999999E-2</v>
      </c>
      <c r="D14" s="82">
        <v>3.8699999999999998E-2</v>
      </c>
      <c r="E14" s="83">
        <v>-2.7000000000000001E-3</v>
      </c>
      <c r="F14" s="82">
        <v>7.1999999999999995E-2</v>
      </c>
      <c r="G14" s="84">
        <v>6.93E-2</v>
      </c>
      <c r="H14" s="83">
        <v>-2.7000000000000001E-3</v>
      </c>
    </row>
    <row r="15" spans="2:8" ht="15.75" customHeight="1" x14ac:dyDescent="0.15">
      <c r="B15" s="80">
        <v>39707</v>
      </c>
      <c r="C15" s="81">
        <v>4.1399999999999999E-2</v>
      </c>
      <c r="D15" s="82">
        <v>4.1399999999999999E-2</v>
      </c>
      <c r="E15" s="83">
        <v>0</v>
      </c>
      <c r="F15" s="82">
        <v>7.4700000000000003E-2</v>
      </c>
      <c r="G15" s="84">
        <v>7.1999999999999995E-2</v>
      </c>
      <c r="H15" s="83">
        <v>-2.7000000000000001E-3</v>
      </c>
    </row>
    <row r="16" spans="2:8" ht="15.75" customHeight="1" x14ac:dyDescent="0.15">
      <c r="B16" s="80">
        <v>39437</v>
      </c>
      <c r="C16" s="81">
        <v>3.8699999999999998E-2</v>
      </c>
      <c r="D16" s="82">
        <v>4.1399999999999999E-2</v>
      </c>
      <c r="E16" s="83">
        <v>2.7000000000000001E-3</v>
      </c>
      <c r="F16" s="82">
        <v>7.2900000000000006E-2</v>
      </c>
      <c r="G16" s="84">
        <v>7.4700000000000003E-2</v>
      </c>
      <c r="H16" s="83">
        <v>1.8E-3</v>
      </c>
    </row>
    <row r="17" spans="2:8" ht="15.75" customHeight="1" x14ac:dyDescent="0.15">
      <c r="B17" s="80">
        <v>39340</v>
      </c>
      <c r="C17" s="81">
        <v>3.5999999999999997E-2</v>
      </c>
      <c r="D17" s="82">
        <v>3.8699999999999998E-2</v>
      </c>
      <c r="E17" s="83">
        <v>2.7000000000000001E-3</v>
      </c>
      <c r="F17" s="82">
        <v>7.0199999999999999E-2</v>
      </c>
      <c r="G17" s="84">
        <v>7.2900000000000006E-2</v>
      </c>
      <c r="H17" s="83">
        <v>2.7000000000000001E-3</v>
      </c>
    </row>
    <row r="18" spans="2:8" ht="15.75" customHeight="1" x14ac:dyDescent="0.15">
      <c r="B18" s="80">
        <v>39316</v>
      </c>
      <c r="C18" s="81">
        <v>3.3300000000000003E-2</v>
      </c>
      <c r="D18" s="82">
        <v>3.5999999999999997E-2</v>
      </c>
      <c r="E18" s="83">
        <v>2.7000000000000001E-3</v>
      </c>
      <c r="F18" s="82">
        <v>6.8400000000000002E-2</v>
      </c>
      <c r="G18" s="84">
        <v>7.0199999999999999E-2</v>
      </c>
      <c r="H18" s="83">
        <v>1.8E-3</v>
      </c>
    </row>
    <row r="19" spans="2:8" ht="15.75" customHeight="1" x14ac:dyDescent="0.15">
      <c r="B19" s="80">
        <v>39284</v>
      </c>
      <c r="C19" s="81">
        <v>3.0599999999999999E-2</v>
      </c>
      <c r="D19" s="82">
        <v>3.3300000000000003E-2</v>
      </c>
      <c r="E19" s="83">
        <v>2.7000000000000001E-3</v>
      </c>
      <c r="F19" s="82">
        <v>6.5699999999999995E-2</v>
      </c>
      <c r="G19" s="84">
        <v>6.8400000000000002E-2</v>
      </c>
      <c r="H19" s="83">
        <v>2.7000000000000001E-3</v>
      </c>
    </row>
    <row r="20" spans="2:8" ht="15.75" customHeight="1" x14ac:dyDescent="0.15">
      <c r="B20" s="80">
        <v>39221</v>
      </c>
      <c r="C20" s="81">
        <v>2.7900000000000001E-2</v>
      </c>
      <c r="D20" s="82">
        <v>3.0599999999999999E-2</v>
      </c>
      <c r="E20" s="83">
        <v>2.7000000000000001E-3</v>
      </c>
      <c r="F20" s="82">
        <v>6.3899999999999998E-2</v>
      </c>
      <c r="G20" s="84">
        <v>6.5699999999999995E-2</v>
      </c>
      <c r="H20" s="83">
        <v>1.8E-3</v>
      </c>
    </row>
    <row r="21" spans="2:8" ht="15.75" customHeight="1" x14ac:dyDescent="0.15">
      <c r="B21" s="80">
        <v>39159</v>
      </c>
      <c r="C21" s="81">
        <v>2.52E-2</v>
      </c>
      <c r="D21" s="82">
        <v>2.7900000000000001E-2</v>
      </c>
      <c r="E21" s="83">
        <v>2.7000000000000001E-3</v>
      </c>
      <c r="F21" s="82">
        <v>6.1199999999999997E-2</v>
      </c>
      <c r="G21" s="84">
        <v>6.3899999999999998E-2</v>
      </c>
      <c r="H21" s="83">
        <v>2.7000000000000001E-3</v>
      </c>
    </row>
    <row r="22" spans="2:8" ht="15.75" customHeight="1" x14ac:dyDescent="0.15">
      <c r="B22" s="80">
        <v>38948</v>
      </c>
      <c r="C22" s="81">
        <v>2.2499999999999999E-2</v>
      </c>
      <c r="D22" s="82">
        <v>2.52E-2</v>
      </c>
      <c r="E22" s="83">
        <v>2.7000000000000001E-3</v>
      </c>
      <c r="F22" s="82">
        <v>5.8500000000000003E-2</v>
      </c>
      <c r="G22" s="84">
        <v>6.1199999999999997E-2</v>
      </c>
      <c r="H22" s="83">
        <v>2.7000000000000001E-3</v>
      </c>
    </row>
    <row r="23" spans="2:8" ht="15.75" customHeight="1" x14ac:dyDescent="0.15">
      <c r="B23" s="80">
        <v>38835</v>
      </c>
      <c r="C23" s="81">
        <v>2.2499999999999999E-2</v>
      </c>
      <c r="D23" s="82">
        <v>2.2499999999999999E-2</v>
      </c>
      <c r="E23" s="83">
        <v>0</v>
      </c>
      <c r="F23" s="82">
        <v>5.5800000000000002E-2</v>
      </c>
      <c r="G23" s="84">
        <v>5.8500000000000003E-2</v>
      </c>
      <c r="H23" s="83">
        <v>2.7000000000000001E-3</v>
      </c>
    </row>
    <row r="24" spans="2:8" ht="15.75" customHeight="1" x14ac:dyDescent="0.15">
      <c r="B24" s="80">
        <v>38289</v>
      </c>
      <c r="C24" s="81">
        <v>1.9800000000000002E-2</v>
      </c>
      <c r="D24" s="82">
        <v>2.2499999999999999E-2</v>
      </c>
      <c r="E24" s="83">
        <v>2.7000000000000001E-3</v>
      </c>
      <c r="F24" s="82">
        <v>5.3100000000000001E-2</v>
      </c>
      <c r="G24" s="84">
        <v>5.5800000000000002E-2</v>
      </c>
      <c r="H24" s="83">
        <v>2.7000000000000001E-3</v>
      </c>
    </row>
    <row r="25" spans="2:8" ht="15.75" customHeight="1" x14ac:dyDescent="0.15">
      <c r="B25" s="85">
        <v>37308</v>
      </c>
      <c r="C25" s="86">
        <v>2.2499999999999999E-2</v>
      </c>
      <c r="D25" s="87">
        <v>1.9800000000000002E-2</v>
      </c>
      <c r="E25" s="88">
        <v>-2.7000000000000001E-3</v>
      </c>
      <c r="F25" s="87">
        <v>5.8500000000000003E-2</v>
      </c>
      <c r="G25" s="89">
        <v>5.3100000000000001E-2</v>
      </c>
      <c r="H25" s="88">
        <v>-5.4000000000000003E-3</v>
      </c>
    </row>
  </sheetData>
  <mergeCells count="3">
    <mergeCell ref="C2:E2"/>
    <mergeCell ref="F2:H2"/>
    <mergeCell ref="B1:H1"/>
  </mergeCells>
  <phoneticPr fontId="3" type="noConversion"/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</vt:lpstr>
      <vt:lpstr>参数范围</vt:lpstr>
      <vt:lpstr>PBOC贷款基准利率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2015-10-16T03:52:43Z</dcterms:modified>
</cp:coreProperties>
</file>