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Windesktop\"/>
    </mc:Choice>
  </mc:AlternateContent>
  <bookViews>
    <workbookView xWindow="0" yWindow="0" windowWidth="20340" windowHeight="7950" tabRatio="773"/>
  </bookViews>
  <sheets>
    <sheet name="5年租金" sheetId="2" r:id="rId1"/>
    <sheet name="考虑手续费的资金成本" sheetId="4" state="hidden" r:id="rId2"/>
    <sheet name="参数" sheetId="15" state="hidden" r:id="rId3"/>
    <sheet name="各方案租赁公司报酬率1" sheetId="8" state="hidden" r:id="rId4"/>
  </sheets>
  <calcPr calcId="152511"/>
</workbook>
</file>

<file path=xl/calcChain.xml><?xml version="1.0" encoding="utf-8"?>
<calcChain xmlns="http://schemas.openxmlformats.org/spreadsheetml/2006/main">
  <c r="C75" i="2" l="1"/>
  <c r="D4" i="2" l="1"/>
  <c r="D5" i="2"/>
  <c r="F3" i="2" l="1"/>
  <c r="D8" i="2"/>
  <c r="B13" i="2"/>
  <c r="B16" i="2" s="1"/>
  <c r="E16" i="2"/>
  <c r="N4" i="15"/>
  <c r="N5" i="15"/>
  <c r="N6" i="15"/>
  <c r="N7" i="15"/>
  <c r="B6" i="8"/>
  <c r="D6" i="8"/>
  <c r="E6" i="8"/>
  <c r="E7" i="8" s="1"/>
  <c r="G6" i="8"/>
  <c r="H6" i="8" s="1"/>
  <c r="D7" i="8"/>
  <c r="G7" i="8"/>
  <c r="B12" i="8"/>
  <c r="D12" i="8" s="1"/>
  <c r="E12" i="8" s="1"/>
  <c r="E13" i="8" s="1"/>
  <c r="G12" i="8"/>
  <c r="H12" i="8"/>
  <c r="H13" i="8" s="1"/>
  <c r="D13" i="8"/>
  <c r="G13" i="8"/>
  <c r="B18" i="8"/>
  <c r="G18" i="8" s="1"/>
  <c r="H18" i="8" s="1"/>
  <c r="H19" i="8" s="1"/>
  <c r="D19" i="8"/>
  <c r="G19" i="8"/>
  <c r="C5" i="4"/>
  <c r="G5" i="4" s="1"/>
  <c r="H5" i="4" s="1"/>
  <c r="E5" i="4"/>
  <c r="I5" i="4"/>
  <c r="I6" i="4"/>
  <c r="I7" i="4"/>
  <c r="I8" i="4"/>
  <c r="I9" i="4"/>
  <c r="I10" i="4"/>
  <c r="I11" i="4"/>
  <c r="I12" i="4"/>
  <c r="I13" i="4"/>
  <c r="I14" i="4"/>
  <c r="I15" i="4"/>
  <c r="I16" i="4"/>
  <c r="B17" i="4"/>
  <c r="C4" i="4" s="1"/>
  <c r="D17" i="4"/>
  <c r="C18" i="4"/>
  <c r="C19" i="4"/>
  <c r="E19" i="4"/>
  <c r="F19" i="4"/>
  <c r="G19" i="4"/>
  <c r="I19" i="4"/>
  <c r="I20" i="4"/>
  <c r="I21" i="4"/>
  <c r="I22" i="4"/>
  <c r="I23" i="4"/>
  <c r="B39" i="4"/>
  <c r="D39" i="4"/>
  <c r="C41" i="4"/>
  <c r="E41" i="4" s="1"/>
  <c r="F41" i="4" s="1"/>
  <c r="G41" i="4"/>
  <c r="H41" i="4" s="1"/>
  <c r="I41" i="4"/>
  <c r="I42" i="4"/>
  <c r="I43" i="4"/>
  <c r="I44" i="4"/>
  <c r="I45" i="4"/>
  <c r="I46" i="4"/>
  <c r="B65" i="4"/>
  <c r="C40" i="4" s="1"/>
  <c r="D65" i="4"/>
  <c r="B7" i="2" l="1"/>
  <c r="C16" i="2" s="1"/>
  <c r="D16" i="2" s="1"/>
  <c r="C13" i="2"/>
  <c r="C42" i="4"/>
  <c r="C6" i="4"/>
  <c r="C14" i="8"/>
  <c r="C15" i="8" s="1"/>
  <c r="H19" i="4"/>
  <c r="D18" i="8"/>
  <c r="E18" i="8" s="1"/>
  <c r="E19" i="8" s="1"/>
  <c r="C20" i="8" s="1"/>
  <c r="C21" i="8" s="1"/>
  <c r="H7" i="8"/>
  <c r="C8" i="8" s="1"/>
  <c r="C9" i="8" s="1"/>
  <c r="F5" i="4"/>
  <c r="B5" i="2"/>
  <c r="C19" i="2" l="1"/>
  <c r="C22" i="2"/>
  <c r="C20" i="4"/>
  <c r="F16" i="2"/>
  <c r="E6" i="4"/>
  <c r="G6" i="4"/>
  <c r="G42" i="4"/>
  <c r="E42" i="4"/>
  <c r="F42" i="4" l="1"/>
  <c r="F6" i="4"/>
  <c r="H42" i="4"/>
  <c r="G20" i="4"/>
  <c r="E20" i="4"/>
  <c r="E19" i="2"/>
  <c r="H6" i="4"/>
  <c r="C25" i="2"/>
  <c r="C28" i="2" l="1"/>
  <c r="D19" i="2"/>
  <c r="H20" i="4"/>
  <c r="C7" i="4"/>
  <c r="F20" i="4"/>
  <c r="C43" i="4"/>
  <c r="C21" i="4" l="1"/>
  <c r="E43" i="4"/>
  <c r="G43" i="4"/>
  <c r="G7" i="4"/>
  <c r="E7" i="4"/>
  <c r="C31" i="2"/>
  <c r="F19" i="2"/>
  <c r="F7" i="4" l="1"/>
  <c r="F43" i="4"/>
  <c r="H43" i="4"/>
  <c r="E22" i="2"/>
  <c r="C34" i="2"/>
  <c r="H7" i="4"/>
  <c r="E21" i="4"/>
  <c r="G21" i="4"/>
  <c r="D22" i="2" l="1"/>
  <c r="F21" i="4"/>
  <c r="C8" i="4"/>
  <c r="C37" i="2"/>
  <c r="C44" i="4"/>
  <c r="H21" i="4"/>
  <c r="G44" i="4" l="1"/>
  <c r="E44" i="4"/>
  <c r="C22" i="4"/>
  <c r="E8" i="4"/>
  <c r="G8" i="4"/>
  <c r="C40" i="2"/>
  <c r="F22" i="2"/>
  <c r="H8" i="4" l="1"/>
  <c r="E25" i="2"/>
  <c r="C43" i="2"/>
  <c r="F8" i="4"/>
  <c r="F44" i="4"/>
  <c r="G22" i="4"/>
  <c r="E22" i="4"/>
  <c r="H44" i="4"/>
  <c r="D25" i="2" l="1"/>
  <c r="F22" i="4"/>
  <c r="C46" i="2"/>
  <c r="C9" i="4"/>
  <c r="C45" i="4"/>
  <c r="H22" i="4"/>
  <c r="C23" i="4" l="1"/>
  <c r="C49" i="2"/>
  <c r="G9" i="4"/>
  <c r="E9" i="4"/>
  <c r="E45" i="4"/>
  <c r="G45" i="4"/>
  <c r="F25" i="2"/>
  <c r="H45" i="4" l="1"/>
  <c r="F9" i="4"/>
  <c r="H9" i="4"/>
  <c r="E28" i="2"/>
  <c r="F45" i="4"/>
  <c r="C52" i="2"/>
  <c r="E23" i="4"/>
  <c r="G23" i="4"/>
  <c r="C55" i="2" l="1"/>
  <c r="D28" i="2"/>
  <c r="C10" i="4"/>
  <c r="C46" i="4"/>
  <c r="H23" i="4"/>
  <c r="F23" i="4"/>
  <c r="G46" i="4" l="1"/>
  <c r="H46" i="4" s="1"/>
  <c r="E46" i="4"/>
  <c r="F28" i="2"/>
  <c r="C24" i="4"/>
  <c r="E10" i="4"/>
  <c r="F10" i="4" s="1"/>
  <c r="G10" i="4"/>
  <c r="C58" i="2"/>
  <c r="C61" i="2" l="1"/>
  <c r="G24" i="4"/>
  <c r="H24" i="4" s="1"/>
  <c r="E24" i="4"/>
  <c r="F46" i="4"/>
  <c r="H10" i="4"/>
  <c r="E31" i="2"/>
  <c r="C47" i="4"/>
  <c r="E47" i="4" l="1"/>
  <c r="F47" i="4" s="1"/>
  <c r="G47" i="4"/>
  <c r="H47" i="4" s="1"/>
  <c r="C25" i="4"/>
  <c r="F24" i="4"/>
  <c r="D31" i="2"/>
  <c r="F31" i="2" s="1"/>
  <c r="C11" i="4"/>
  <c r="C64" i="2"/>
  <c r="C67" i="2" l="1"/>
  <c r="E25" i="4"/>
  <c r="F25" i="4" s="1"/>
  <c r="G25" i="4"/>
  <c r="H25" i="4" s="1"/>
  <c r="E34" i="2"/>
  <c r="D34" i="2" s="1"/>
  <c r="F34" i="2" s="1"/>
  <c r="C48" i="4"/>
  <c r="G11" i="4"/>
  <c r="H11" i="4" s="1"/>
  <c r="E11" i="4"/>
  <c r="F11" i="4" s="1"/>
  <c r="E37" i="2" l="1"/>
  <c r="D37" i="2" s="1"/>
  <c r="F37" i="2" s="1"/>
  <c r="G48" i="4"/>
  <c r="H48" i="4" s="1"/>
  <c r="E48" i="4"/>
  <c r="F48" i="4" s="1"/>
  <c r="C70" i="2"/>
  <c r="C12" i="4"/>
  <c r="C26" i="4"/>
  <c r="E40" i="2" l="1"/>
  <c r="D40" i="2" s="1"/>
  <c r="F40" i="2" s="1"/>
  <c r="E12" i="4"/>
  <c r="F12" i="4" s="1"/>
  <c r="G12" i="4"/>
  <c r="H12" i="4" s="1"/>
  <c r="C49" i="4"/>
  <c r="E26" i="4"/>
  <c r="F26" i="4" s="1"/>
  <c r="G26" i="4"/>
  <c r="H26" i="4" s="1"/>
  <c r="C73" i="2"/>
  <c r="E43" i="2" l="1"/>
  <c r="D43" i="2" s="1"/>
  <c r="F43" i="2" s="1"/>
  <c r="C13" i="4"/>
  <c r="C27" i="4"/>
  <c r="C11" i="2"/>
  <c r="C76" i="2"/>
  <c r="E49" i="4"/>
  <c r="F49" i="4" s="1"/>
  <c r="G49" i="4"/>
  <c r="H49" i="4" s="1"/>
  <c r="E46" i="2" l="1"/>
  <c r="D46" i="2" s="1"/>
  <c r="F46" i="2" s="1"/>
  <c r="G13" i="4"/>
  <c r="H13" i="4" s="1"/>
  <c r="E13" i="4"/>
  <c r="F13" i="4" s="1"/>
  <c r="C50" i="4"/>
  <c r="G27" i="4"/>
  <c r="H27" i="4" s="1"/>
  <c r="E27" i="4"/>
  <c r="F27" i="4" s="1"/>
  <c r="E49" i="2" l="1"/>
  <c r="D49" i="2" s="1"/>
  <c r="F49" i="2" s="1"/>
  <c r="C28" i="4"/>
  <c r="C14" i="4"/>
  <c r="E50" i="4"/>
  <c r="F50" i="4" s="1"/>
  <c r="G50" i="4"/>
  <c r="H50" i="4" s="1"/>
  <c r="E52" i="2" l="1"/>
  <c r="D52" i="2" s="1"/>
  <c r="F52" i="2" s="1"/>
  <c r="E14" i="4"/>
  <c r="F14" i="4" s="1"/>
  <c r="G14" i="4"/>
  <c r="H14" i="4" s="1"/>
  <c r="C51" i="4"/>
  <c r="G28" i="4"/>
  <c r="H28" i="4" s="1"/>
  <c r="E28" i="4"/>
  <c r="F28" i="4" s="1"/>
  <c r="E55" i="2" l="1"/>
  <c r="D55" i="2" s="1"/>
  <c r="F55" i="2" s="1"/>
  <c r="C15" i="4"/>
  <c r="C29" i="4"/>
  <c r="E51" i="4"/>
  <c r="F51" i="4" s="1"/>
  <c r="G51" i="4"/>
  <c r="H51" i="4" s="1"/>
  <c r="F58" i="2" l="1"/>
  <c r="E58" i="2"/>
  <c r="D58" i="2" s="1"/>
  <c r="C52" i="4"/>
  <c r="G15" i="4"/>
  <c r="E15" i="4"/>
  <c r="F15" i="4" s="1"/>
  <c r="E29" i="4"/>
  <c r="F29" i="4" s="1"/>
  <c r="G29" i="4"/>
  <c r="H29" i="4" s="1"/>
  <c r="C30" i="4" l="1"/>
  <c r="G52" i="4"/>
  <c r="H52" i="4" s="1"/>
  <c r="E52" i="4"/>
  <c r="F52" i="4" s="1"/>
  <c r="G17" i="4"/>
  <c r="H15" i="4"/>
  <c r="E61" i="2"/>
  <c r="D61" i="2" s="1"/>
  <c r="F61" i="2"/>
  <c r="E30" i="4" l="1"/>
  <c r="F30" i="4" s="1"/>
  <c r="G30" i="4"/>
  <c r="H30" i="4" s="1"/>
  <c r="E64" i="2"/>
  <c r="D64" i="2" s="1"/>
  <c r="F64" i="2"/>
  <c r="C53" i="4"/>
  <c r="C16" i="4"/>
  <c r="H16" i="4"/>
  <c r="C31" i="4" l="1"/>
  <c r="E67" i="2"/>
  <c r="D67" i="2" s="1"/>
  <c r="F67" i="2" s="1"/>
  <c r="E16" i="4"/>
  <c r="C17" i="4"/>
  <c r="E53" i="4"/>
  <c r="F53" i="4" s="1"/>
  <c r="G53" i="4"/>
  <c r="H53" i="4" s="1"/>
  <c r="E70" i="2" l="1"/>
  <c r="D70" i="2" s="1"/>
  <c r="F70" i="2" s="1"/>
  <c r="C54" i="4"/>
  <c r="F16" i="4"/>
  <c r="F17" i="4" s="1"/>
  <c r="E17" i="4"/>
  <c r="G31" i="4"/>
  <c r="H31" i="4" s="1"/>
  <c r="E31" i="4"/>
  <c r="F31" i="4" s="1"/>
  <c r="E73" i="2" l="1"/>
  <c r="E54" i="4"/>
  <c r="F54" i="4" s="1"/>
  <c r="G54" i="4"/>
  <c r="H54" i="4" s="1"/>
  <c r="C32" i="4"/>
  <c r="G32" i="4" l="1"/>
  <c r="H32" i="4" s="1"/>
  <c r="E32" i="4"/>
  <c r="F32" i="4" s="1"/>
  <c r="C55" i="4"/>
  <c r="E11" i="2"/>
  <c r="D73" i="2"/>
  <c r="E55" i="4" l="1"/>
  <c r="F55" i="4" s="1"/>
  <c r="G55" i="4"/>
  <c r="H55" i="4" s="1"/>
  <c r="D11" i="2"/>
  <c r="F73" i="2"/>
  <c r="C33" i="4"/>
  <c r="C56" i="4" l="1"/>
  <c r="E33" i="4"/>
  <c r="F33" i="4" s="1"/>
  <c r="G33" i="4"/>
  <c r="H33" i="4" s="1"/>
  <c r="C34" i="4" l="1"/>
  <c r="G56" i="4"/>
  <c r="H56" i="4" s="1"/>
  <c r="E56" i="4"/>
  <c r="F56" i="4" s="1"/>
  <c r="C57" i="4" l="1"/>
  <c r="E34" i="4"/>
  <c r="F34" i="4" s="1"/>
  <c r="G34" i="4"/>
  <c r="H34" i="4" s="1"/>
  <c r="C35" i="4" l="1"/>
  <c r="G57" i="4"/>
  <c r="H57" i="4" s="1"/>
  <c r="E57" i="4"/>
  <c r="F57" i="4" s="1"/>
  <c r="G35" i="4" l="1"/>
  <c r="H35" i="4" s="1"/>
  <c r="E35" i="4"/>
  <c r="F35" i="4" s="1"/>
  <c r="C58" i="4"/>
  <c r="C36" i="4" l="1"/>
  <c r="E58" i="4"/>
  <c r="F58" i="4" s="1"/>
  <c r="G58" i="4"/>
  <c r="H58" i="4" s="1"/>
  <c r="C59" i="4" l="1"/>
  <c r="G36" i="4"/>
  <c r="H36" i="4" s="1"/>
  <c r="E36" i="4"/>
  <c r="F36" i="4" s="1"/>
  <c r="C37" i="4" l="1"/>
  <c r="E59" i="4"/>
  <c r="F59" i="4" s="1"/>
  <c r="G59" i="4"/>
  <c r="H59" i="4" s="1"/>
  <c r="C60" i="4" l="1"/>
  <c r="E37" i="4"/>
  <c r="F37" i="4" s="1"/>
  <c r="G37" i="4"/>
  <c r="G39" i="4" l="1"/>
  <c r="H37" i="4"/>
  <c r="G60" i="4"/>
  <c r="H60" i="4" s="1"/>
  <c r="E60" i="4"/>
  <c r="F60" i="4" s="1"/>
  <c r="C61" i="4" l="1"/>
  <c r="C38" i="4"/>
  <c r="H38" i="4"/>
  <c r="G61" i="4" l="1"/>
  <c r="H61" i="4" s="1"/>
  <c r="E61" i="4"/>
  <c r="F61" i="4" s="1"/>
  <c r="E38" i="4"/>
  <c r="C39" i="4"/>
  <c r="F38" i="4" l="1"/>
  <c r="F39" i="4" s="1"/>
  <c r="E39" i="4"/>
  <c r="C62" i="4"/>
  <c r="E62" i="4" l="1"/>
  <c r="F62" i="4" s="1"/>
  <c r="G62" i="4"/>
  <c r="H62" i="4" s="1"/>
  <c r="C63" i="4" l="1"/>
  <c r="G63" i="4" l="1"/>
  <c r="E63" i="4"/>
  <c r="F63" i="4" s="1"/>
  <c r="G65" i="4" l="1"/>
  <c r="H63" i="4"/>
  <c r="H64" i="4" l="1"/>
  <c r="C64" i="4"/>
  <c r="E64" i="4" l="1"/>
  <c r="C65" i="4"/>
  <c r="F64" i="4" l="1"/>
  <c r="F65" i="4" s="1"/>
  <c r="E65" i="4"/>
</calcChain>
</file>

<file path=xl/sharedStrings.xml><?xml version="1.0" encoding="utf-8"?>
<sst xmlns="http://schemas.openxmlformats.org/spreadsheetml/2006/main" count="149" uniqueCount="107">
  <si>
    <t>设备总价</t>
  </si>
  <si>
    <t>起租日</t>
  </si>
  <si>
    <t>融资额</t>
  </si>
  <si>
    <t>首付款比例</t>
  </si>
  <si>
    <t>手续费</t>
  </si>
  <si>
    <t>手续费率</t>
  </si>
  <si>
    <t>首付款</t>
  </si>
  <si>
    <t>保证金</t>
  </si>
  <si>
    <t>保证金率</t>
  </si>
  <si>
    <t>年利率</t>
  </si>
  <si>
    <t>租赁年限</t>
  </si>
  <si>
    <t>每年付款期</t>
  </si>
  <si>
    <t>每期租金</t>
  </si>
  <si>
    <t>保险费</t>
  </si>
  <si>
    <t>租金支付周期</t>
  </si>
  <si>
    <t>季度</t>
  </si>
  <si>
    <t>利率浮动</t>
  </si>
  <si>
    <t>期末留购价值</t>
  </si>
  <si>
    <t>融资公司</t>
  </si>
  <si>
    <t>金额：元</t>
  </si>
  <si>
    <t>总计还款金额</t>
  </si>
  <si>
    <t>总计还款本金</t>
  </si>
  <si>
    <t>总计还款利息</t>
  </si>
  <si>
    <t>最终本金余额</t>
  </si>
  <si>
    <t>合计</t>
  </si>
  <si>
    <t>期数</t>
  </si>
  <si>
    <t>还款日期</t>
  </si>
  <si>
    <t>租金</t>
  </si>
  <si>
    <t>本金部分</t>
  </si>
  <si>
    <t>利息部分</t>
  </si>
  <si>
    <t>本金余额</t>
  </si>
  <si>
    <t>起租</t>
  </si>
  <si>
    <t>保证金抵最后一期租金</t>
  </si>
  <si>
    <t>内部收益率IRR</t>
  </si>
  <si>
    <t>增值税抵扣后内部收益率IRR</t>
  </si>
  <si>
    <t>考虑租赁手续费的按季还付方案融资资金成本</t>
  </si>
  <si>
    <t>融资金额</t>
  </si>
  <si>
    <t>五年贴现</t>
  </si>
  <si>
    <t>六年贴现</t>
  </si>
  <si>
    <t>三年贴现</t>
  </si>
  <si>
    <t>期限</t>
  </si>
  <si>
    <t>等额偿还</t>
  </si>
  <si>
    <t>资金成本</t>
  </si>
  <si>
    <t>折旧费</t>
  </si>
  <si>
    <t>可抵税</t>
  </si>
  <si>
    <t>税后现金流出</t>
  </si>
  <si>
    <t>还本</t>
  </si>
  <si>
    <t>未还本金</t>
  </si>
  <si>
    <t>现值系数</t>
  </si>
  <si>
    <t>3年</t>
  </si>
  <si>
    <t>5年</t>
  </si>
  <si>
    <t>6年</t>
  </si>
  <si>
    <t>说明：</t>
  </si>
  <si>
    <t>由于保证金可抵付最后几期租金，故未考虑保证金资金成本。</t>
  </si>
  <si>
    <t>资产折旧采用直线法，按10年折旧，残值率5%</t>
  </si>
  <si>
    <t>融资期限（月）</t>
  </si>
  <si>
    <t>利率浮动方式</t>
  </si>
  <si>
    <t>手续费支付方式</t>
  </si>
  <si>
    <t>租金支付方式（1表示前付，0表示后付）</t>
  </si>
  <si>
    <t>PBOC贷款基准利率</t>
  </si>
  <si>
    <t>年期数</t>
  </si>
  <si>
    <t>月份数</t>
  </si>
  <si>
    <t>天数</t>
  </si>
  <si>
    <t>固定利率</t>
  </si>
  <si>
    <t>起租时一次性支付</t>
  </si>
  <si>
    <t>月</t>
  </si>
  <si>
    <t>按年浮动</t>
  </si>
  <si>
    <t>每年初支付</t>
  </si>
  <si>
    <t>双月</t>
  </si>
  <si>
    <t>6至12个月（含12个月）</t>
  </si>
  <si>
    <t>6至12个月</t>
  </si>
  <si>
    <t>按季浮动</t>
  </si>
  <si>
    <t>随租金支付</t>
  </si>
  <si>
    <t>6个月以内（含6个月）</t>
  </si>
  <si>
    <r>
      <t>6</t>
    </r>
    <r>
      <rPr>
        <sz val="9"/>
        <color indexed="8"/>
        <rFont val="宋体"/>
        <family val="3"/>
        <charset val="134"/>
      </rPr>
      <t>个月以内</t>
    </r>
  </si>
  <si>
    <t>半年</t>
  </si>
  <si>
    <t>12个月-36个月（含36个月）</t>
  </si>
  <si>
    <t>12个月-36个月</t>
  </si>
  <si>
    <t>一年</t>
  </si>
  <si>
    <t>36个月-60个月（含60个月）</t>
  </si>
  <si>
    <t>36个月-60个月</t>
  </si>
  <si>
    <t>60个月以上</t>
  </si>
  <si>
    <t>利率项目</t>
  </si>
  <si>
    <t>年利率(%)</t>
  </si>
  <si>
    <r>
      <t>六个月以内（含6个月）</t>
    </r>
    <r>
      <rPr>
        <sz val="9"/>
        <color indexed="10"/>
        <rFont val="Arial"/>
        <family val="2"/>
      </rPr>
      <t>贷款</t>
    </r>
  </si>
  <si>
    <r>
      <t>六个月至一年（含1年）</t>
    </r>
    <r>
      <rPr>
        <sz val="9"/>
        <color indexed="10"/>
        <rFont val="Arial"/>
        <family val="2"/>
      </rPr>
      <t>贷款</t>
    </r>
  </si>
  <si>
    <r>
      <t>一至三年（含3年）</t>
    </r>
    <r>
      <rPr>
        <sz val="9"/>
        <color indexed="10"/>
        <rFont val="Arial"/>
        <family val="2"/>
      </rPr>
      <t>贷款</t>
    </r>
  </si>
  <si>
    <r>
      <t>三至五年（含5年）</t>
    </r>
    <r>
      <rPr>
        <sz val="9"/>
        <color indexed="10"/>
        <rFont val="Arial"/>
        <family val="2"/>
      </rPr>
      <t>贷款</t>
    </r>
  </si>
  <si>
    <r>
      <t>五年以上</t>
    </r>
    <r>
      <rPr>
        <sz val="9"/>
        <color indexed="10"/>
        <rFont val="Arial"/>
        <family val="2"/>
      </rPr>
      <t>贷款</t>
    </r>
  </si>
  <si>
    <t>各方案租赁公司内含报酬率测算</t>
  </si>
  <si>
    <t>3年方案</t>
  </si>
  <si>
    <t>12期</t>
  </si>
  <si>
    <t>试算I值</t>
  </si>
  <si>
    <t>现金流</t>
  </si>
  <si>
    <t>年金现值系数</t>
  </si>
  <si>
    <t>复利现值</t>
  </si>
  <si>
    <t>累计净现值</t>
  </si>
  <si>
    <t>付设备款</t>
  </si>
  <si>
    <t>每季租金</t>
  </si>
  <si>
    <t>按季IRR=</t>
  </si>
  <si>
    <t>年内含报酬率＝</t>
  </si>
  <si>
    <t>5年方案</t>
  </si>
  <si>
    <t>20期</t>
  </si>
  <si>
    <t>6年方案</t>
  </si>
  <si>
    <t>24期</t>
  </si>
  <si>
    <t>说明：3年方案为手续费2.6%应支付520万元，保证金3%应支付600万元。5年和6年方案均按手续费3%即600万元，保证金5%即1000万元计算。其中手续费系一次性支付。未考虑保证金抵付最后几期租金问题。</t>
  </si>
  <si>
    <t>融资租赁还租测算表－5年20期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</si>
</sst>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76" formatCode="#,##0.00_ "/>
    <numFmt numFmtId="177" formatCode="0.000%"/>
    <numFmt numFmtId="178" formatCode="0_ "/>
    <numFmt numFmtId="179" formatCode="_(* #,##0.00_);_(* \(#,##0.00\);_(* &quot;-&quot;??_);_(@_)"/>
    <numFmt numFmtId="180" formatCode="yyyy/mm/dd"/>
    <numFmt numFmtId="181" formatCode="0.0000%"/>
  </numFmts>
  <fonts count="39">
    <font>
      <sz val="11"/>
      <color indexed="8"/>
      <name val="宋体"/>
      <charset val="134"/>
    </font>
    <font>
      <sz val="14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sz val="9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b/>
      <u val="double"/>
      <sz val="16"/>
      <name val="微软雅黑"/>
      <family val="2"/>
      <charset val="134"/>
    </font>
    <font>
      <b/>
      <u val="double"/>
      <sz val="16"/>
      <name val="Times New Roman"/>
      <family val="1"/>
    </font>
    <font>
      <b/>
      <sz val="11"/>
      <name val="宋体"/>
      <family val="3"/>
      <charset val="134"/>
    </font>
    <font>
      <b/>
      <u/>
      <sz val="11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Times New Roman"/>
      <family val="1"/>
    </font>
    <font>
      <b/>
      <sz val="9"/>
      <name val="微软雅黑"/>
      <family val="2"/>
      <charset val="134"/>
    </font>
    <font>
      <sz val="9"/>
      <name val="微软雅黑"/>
      <family val="2"/>
      <charset val="134"/>
    </font>
    <font>
      <b/>
      <u/>
      <sz val="9"/>
      <name val="微软雅黑"/>
      <family val="2"/>
      <charset val="134"/>
    </font>
    <font>
      <b/>
      <sz val="10"/>
      <color indexed="10"/>
      <name val="宋体"/>
      <family val="3"/>
      <charset val="134"/>
    </font>
    <font>
      <b/>
      <sz val="10"/>
      <name val="微软雅黑"/>
      <family val="2"/>
      <charset val="134"/>
    </font>
    <font>
      <b/>
      <sz val="11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Arial"/>
      <family val="2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0"/>
      <name val="Arial"/>
      <family val="2"/>
    </font>
    <font>
      <sz val="11"/>
      <color indexed="8"/>
      <name val="宋体"/>
      <family val="3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43" fontId="38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25" fillId="6" borderId="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35" fillId="16" borderId="4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2" fillId="0" borderId="0"/>
    <xf numFmtId="0" fontId="31" fillId="0" borderId="7" applyNumberFormat="0" applyFill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3" fillId="16" borderId="1" applyNumberFormat="0" applyAlignment="0" applyProtection="0">
      <alignment vertical="center"/>
    </xf>
    <xf numFmtId="0" fontId="29" fillId="19" borderId="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8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8" fillId="23" borderId="9" applyNumberFormat="0" applyFont="0" applyAlignment="0" applyProtection="0">
      <alignment vertical="center"/>
    </xf>
  </cellStyleXfs>
  <cellXfs count="96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24" borderId="10" xfId="0" applyFill="1" applyBorder="1" applyAlignment="1">
      <alignment vertical="center"/>
    </xf>
    <xf numFmtId="0" fontId="0" fillId="0" borderId="10" xfId="0" applyNumberFormat="1" applyBorder="1" applyAlignment="1">
      <alignment vertical="center"/>
    </xf>
    <xf numFmtId="9" fontId="0" fillId="0" borderId="10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176" fontId="0" fillId="0" borderId="10" xfId="0" applyNumberFormat="1" applyBorder="1" applyAlignment="1">
      <alignment vertical="center"/>
    </xf>
    <xf numFmtId="10" fontId="0" fillId="0" borderId="10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0" fontId="2" fillId="25" borderId="0" xfId="0" applyNumberFormat="1" applyFont="1" applyFill="1" applyBorder="1" applyAlignment="1">
      <alignment horizontal="right" vertical="center" wrapText="1"/>
    </xf>
    <xf numFmtId="0" fontId="2" fillId="25" borderId="11" xfId="0" applyNumberFormat="1" applyFont="1" applyFill="1" applyBorder="1" applyAlignment="1">
      <alignment horizontal="right" vertical="center" wrapText="1"/>
    </xf>
    <xf numFmtId="0" fontId="0" fillId="24" borderId="10" xfId="0" applyNumberFormat="1" applyFill="1" applyBorder="1" applyAlignment="1">
      <alignment vertical="center"/>
    </xf>
    <xf numFmtId="9" fontId="0" fillId="0" borderId="0" xfId="0" applyNumberFormat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/>
    <xf numFmtId="10" fontId="3" fillId="0" borderId="0" xfId="3" applyNumberFormat="1" applyFont="1" applyAlignment="1"/>
    <xf numFmtId="0" fontId="3" fillId="16" borderId="12" xfId="0" applyFont="1" applyFill="1" applyBorder="1" applyAlignment="1">
      <alignment horizontal="center" vertical="center" wrapText="1"/>
    </xf>
    <xf numFmtId="0" fontId="3" fillId="16" borderId="13" xfId="0" applyFont="1" applyFill="1" applyBorder="1" applyAlignment="1">
      <alignment horizontal="center" vertical="center" wrapText="1"/>
    </xf>
    <xf numFmtId="0" fontId="3" fillId="16" borderId="1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0" fontId="3" fillId="24" borderId="18" xfId="3" applyNumberFormat="1" applyFont="1" applyFill="1" applyBorder="1" applyAlignment="1">
      <alignment horizontal="center" vertical="center"/>
    </xf>
    <xf numFmtId="10" fontId="3" fillId="0" borderId="18" xfId="3" applyNumberFormat="1" applyFont="1" applyBorder="1" applyAlignment="1">
      <alignment horizontal="center" vertical="center"/>
    </xf>
    <xf numFmtId="10" fontId="3" fillId="0" borderId="21" xfId="3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16" borderId="10" xfId="0" applyFill="1" applyBorder="1" applyAlignment="1">
      <alignment vertical="center"/>
    </xf>
    <xf numFmtId="10" fontId="3" fillId="0" borderId="10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0" fontId="0" fillId="24" borderId="10" xfId="0" applyFill="1" applyBorder="1" applyAlignment="1">
      <alignment horizontal="center" vertical="center" wrapText="1"/>
    </xf>
    <xf numFmtId="178" fontId="0" fillId="0" borderId="10" xfId="0" applyNumberFormat="1" applyBorder="1" applyAlignment="1">
      <alignment vertical="center"/>
    </xf>
    <xf numFmtId="0" fontId="0" fillId="0" borderId="10" xfId="0" applyFill="1" applyBorder="1" applyAlignment="1">
      <alignment horizontal="center" vertical="center" wrapText="1"/>
    </xf>
    <xf numFmtId="0" fontId="6" fillId="26" borderId="0" xfId="0" applyFont="1" applyFill="1" applyProtection="1">
      <protection locked="0"/>
    </xf>
    <xf numFmtId="0" fontId="7" fillId="26" borderId="0" xfId="0" applyFont="1" applyFill="1" applyProtection="1">
      <protection locked="0"/>
    </xf>
    <xf numFmtId="0" fontId="0" fillId="26" borderId="0" xfId="0" applyFill="1" applyProtection="1">
      <protection locked="0"/>
    </xf>
    <xf numFmtId="43" fontId="0" fillId="26" borderId="0" xfId="1" applyFont="1" applyFill="1" applyAlignment="1" applyProtection="1">
      <protection locked="0"/>
    </xf>
    <xf numFmtId="0" fontId="8" fillId="26" borderId="0" xfId="35" applyFont="1" applyFill="1" applyAlignment="1" applyProtection="1">
      <alignment horizontal="centerContinuous"/>
      <protection hidden="1"/>
    </xf>
    <xf numFmtId="0" fontId="9" fillId="26" borderId="0" xfId="35" applyFont="1" applyFill="1" applyAlignment="1" applyProtection="1">
      <alignment horizontal="centerContinuous"/>
      <protection hidden="1"/>
    </xf>
    <xf numFmtId="43" fontId="9" fillId="26" borderId="0" xfId="1" applyFont="1" applyFill="1" applyAlignment="1" applyProtection="1">
      <alignment horizontal="centerContinuous"/>
      <protection hidden="1"/>
    </xf>
    <xf numFmtId="0" fontId="10" fillId="26" borderId="24" xfId="35" applyFont="1" applyFill="1" applyBorder="1" applyAlignment="1" applyProtection="1">
      <alignment horizontal="center" vertical="center"/>
      <protection hidden="1"/>
    </xf>
    <xf numFmtId="0" fontId="12" fillId="26" borderId="0" xfId="35" applyFont="1" applyFill="1" applyAlignment="1" applyProtection="1">
      <alignment horizontal="left"/>
      <protection hidden="1"/>
    </xf>
    <xf numFmtId="43" fontId="13" fillId="26" borderId="0" xfId="1" applyFont="1" applyFill="1" applyAlignment="1" applyProtection="1">
      <alignment horizontal="center"/>
      <protection hidden="1"/>
    </xf>
    <xf numFmtId="0" fontId="14" fillId="26" borderId="10" xfId="35" applyFont="1" applyFill="1" applyBorder="1" applyAlignment="1" applyProtection="1">
      <alignment horizontal="center"/>
      <protection hidden="1"/>
    </xf>
    <xf numFmtId="0" fontId="13" fillId="26" borderId="0" xfId="35" applyFont="1" applyFill="1" applyAlignment="1" applyProtection="1">
      <alignment horizontal="center"/>
      <protection hidden="1"/>
    </xf>
    <xf numFmtId="43" fontId="16" fillId="26" borderId="0" xfId="1" applyFont="1" applyFill="1" applyAlignment="1" applyProtection="1">
      <alignment horizontal="center"/>
      <protection hidden="1"/>
    </xf>
    <xf numFmtId="40" fontId="18" fillId="26" borderId="10" xfId="35" applyNumberFormat="1" applyFont="1" applyFill="1" applyBorder="1" applyAlignment="1" applyProtection="1">
      <alignment horizontal="center"/>
      <protection hidden="1"/>
    </xf>
    <xf numFmtId="40" fontId="18" fillId="26" borderId="10" xfId="35" applyNumberFormat="1" applyFont="1" applyFill="1" applyBorder="1" applyAlignment="1" applyProtection="1">
      <alignment horizontal="right"/>
      <protection hidden="1"/>
    </xf>
    <xf numFmtId="43" fontId="18" fillId="26" borderId="10" xfId="1" applyFont="1" applyFill="1" applyBorder="1" applyAlignment="1" applyProtection="1">
      <alignment horizontal="right"/>
      <protection hidden="1"/>
    </xf>
    <xf numFmtId="0" fontId="14" fillId="26" borderId="25" xfId="35" applyFont="1" applyFill="1" applyBorder="1" applyAlignment="1" applyProtection="1">
      <alignment horizontal="right"/>
      <protection hidden="1"/>
    </xf>
    <xf numFmtId="180" fontId="15" fillId="26" borderId="10" xfId="41" applyNumberFormat="1" applyFont="1" applyFill="1" applyBorder="1" applyAlignment="1" applyProtection="1">
      <alignment horizontal="right" vertical="center"/>
      <protection hidden="1"/>
    </xf>
    <xf numFmtId="43" fontId="14" fillId="26" borderId="10" xfId="35" applyNumberFormat="1" applyFont="1" applyFill="1" applyBorder="1" applyAlignment="1" applyProtection="1">
      <alignment horizontal="right"/>
      <protection hidden="1"/>
    </xf>
    <xf numFmtId="181" fontId="14" fillId="26" borderId="10" xfId="32" applyNumberFormat="1" applyFont="1" applyFill="1" applyBorder="1" applyAlignment="1" applyProtection="1">
      <alignment horizontal="center" vertical="center"/>
      <protection hidden="1"/>
    </xf>
    <xf numFmtId="43" fontId="14" fillId="26" borderId="10" xfId="1" applyFont="1" applyFill="1" applyBorder="1" applyAlignment="1" applyProtection="1">
      <alignment horizontal="right"/>
      <protection hidden="1"/>
    </xf>
    <xf numFmtId="0" fontId="14" fillId="26" borderId="25" xfId="35" applyNumberFormat="1" applyFont="1" applyFill="1" applyBorder="1" applyAlignment="1" applyProtection="1">
      <alignment horizontal="right"/>
      <protection hidden="1"/>
    </xf>
    <xf numFmtId="0" fontId="14" fillId="26" borderId="10" xfId="35" applyFont="1" applyFill="1" applyBorder="1" applyAlignment="1" applyProtection="1">
      <alignment horizontal="right"/>
      <protection hidden="1"/>
    </xf>
    <xf numFmtId="179" fontId="15" fillId="26" borderId="10" xfId="41" applyNumberFormat="1" applyFont="1" applyFill="1" applyBorder="1" applyAlignment="1" applyProtection="1">
      <alignment horizontal="right" vertical="center"/>
      <protection hidden="1"/>
    </xf>
    <xf numFmtId="43" fontId="15" fillId="26" borderId="10" xfId="1" applyFont="1" applyFill="1" applyBorder="1" applyAlignment="1" applyProtection="1">
      <alignment horizontal="right" vertical="center"/>
      <protection hidden="1"/>
    </xf>
    <xf numFmtId="0" fontId="14" fillId="26" borderId="26" xfId="35" applyFont="1" applyFill="1" applyBorder="1" applyAlignment="1" applyProtection="1">
      <alignment horizontal="right"/>
      <protection hidden="1"/>
    </xf>
    <xf numFmtId="0" fontId="0" fillId="26" borderId="25" xfId="0" applyFill="1" applyBorder="1" applyProtection="1">
      <protection locked="0"/>
    </xf>
    <xf numFmtId="10" fontId="0" fillId="26" borderId="25" xfId="0" applyNumberFormat="1" applyFill="1" applyBorder="1" applyProtection="1">
      <protection locked="0"/>
    </xf>
    <xf numFmtId="43" fontId="0" fillId="26" borderId="25" xfId="1" applyFont="1" applyFill="1" applyBorder="1" applyAlignment="1" applyProtection="1">
      <protection locked="0"/>
    </xf>
    <xf numFmtId="0" fontId="0" fillId="26" borderId="10" xfId="0" applyFill="1" applyBorder="1" applyProtection="1">
      <protection locked="0"/>
    </xf>
    <xf numFmtId="10" fontId="0" fillId="26" borderId="10" xfId="0" applyNumberFormat="1" applyFill="1" applyBorder="1" applyProtection="1">
      <protection locked="0"/>
    </xf>
    <xf numFmtId="43" fontId="0" fillId="26" borderId="10" xfId="1" applyFont="1" applyFill="1" applyBorder="1" applyAlignment="1" applyProtection="1">
      <protection locked="0"/>
    </xf>
    <xf numFmtId="180" fontId="14" fillId="27" borderId="26" xfId="41" applyNumberFormat="1" applyFont="1" applyFill="1" applyBorder="1" applyAlignment="1" applyProtection="1">
      <alignment horizontal="right" vertical="center"/>
      <protection hidden="1"/>
    </xf>
    <xf numFmtId="0" fontId="14" fillId="27" borderId="25" xfId="35" applyFont="1" applyFill="1" applyBorder="1" applyAlignment="1" applyProtection="1">
      <alignment horizontal="center"/>
      <protection hidden="1"/>
    </xf>
    <xf numFmtId="0" fontId="14" fillId="27" borderId="10" xfId="35" applyFont="1" applyFill="1" applyBorder="1" applyAlignment="1" applyProtection="1">
      <alignment horizontal="center" wrapText="1"/>
      <protection hidden="1"/>
    </xf>
    <xf numFmtId="0" fontId="14" fillId="28" borderId="10" xfId="35" applyFont="1" applyFill="1" applyBorder="1" applyAlignment="1" applyProtection="1">
      <alignment horizontal="center"/>
      <protection hidden="1"/>
    </xf>
    <xf numFmtId="179" fontId="14" fillId="28" borderId="10" xfId="41" applyNumberFormat="1" applyFont="1" applyFill="1" applyBorder="1" applyAlignment="1" applyProtection="1">
      <alignment vertical="center"/>
      <protection hidden="1"/>
    </xf>
    <xf numFmtId="180" fontId="15" fillId="28" borderId="10" xfId="41" applyNumberFormat="1" applyFont="1" applyFill="1" applyBorder="1" applyAlignment="1" applyProtection="1">
      <alignment horizontal="center" vertical="center"/>
      <protection locked="0"/>
    </xf>
    <xf numFmtId="43" fontId="14" fillId="28" borderId="10" xfId="1" applyFont="1" applyFill="1" applyBorder="1" applyAlignment="1" applyProtection="1">
      <alignment horizontal="center"/>
      <protection hidden="1"/>
    </xf>
    <xf numFmtId="10" fontId="14" fillId="28" borderId="10" xfId="35" applyNumberFormat="1" applyFont="1" applyFill="1" applyBorder="1" applyAlignment="1" applyProtection="1">
      <protection hidden="1"/>
    </xf>
    <xf numFmtId="43" fontId="14" fillId="28" borderId="10" xfId="35" applyNumberFormat="1" applyFont="1" applyFill="1" applyBorder="1" applyAlignment="1" applyProtection="1">
      <alignment horizontal="center"/>
      <protection hidden="1"/>
    </xf>
    <xf numFmtId="10" fontId="14" fillId="28" borderId="10" xfId="1" applyNumberFormat="1" applyFont="1" applyFill="1" applyBorder="1" applyAlignment="1" applyProtection="1">
      <alignment horizontal="center"/>
      <protection hidden="1"/>
    </xf>
    <xf numFmtId="10" fontId="14" fillId="28" borderId="10" xfId="32" applyNumberFormat="1" applyFont="1" applyFill="1" applyBorder="1" applyAlignment="1" applyProtection="1">
      <alignment vertical="center"/>
      <protection locked="0"/>
    </xf>
    <xf numFmtId="176" fontId="14" fillId="28" borderId="10" xfId="35" applyNumberFormat="1" applyFont="1" applyFill="1" applyBorder="1" applyAlignment="1" applyProtection="1">
      <protection hidden="1"/>
    </xf>
    <xf numFmtId="0" fontId="17" fillId="29" borderId="10" xfId="35" applyFont="1" applyFill="1" applyBorder="1" applyAlignment="1" applyProtection="1">
      <alignment horizontal="center"/>
      <protection hidden="1"/>
    </xf>
    <xf numFmtId="0" fontId="13" fillId="29" borderId="10" xfId="35" applyFont="1" applyFill="1" applyBorder="1" applyAlignment="1" applyProtection="1">
      <alignment horizontal="center"/>
      <protection hidden="1"/>
    </xf>
    <xf numFmtId="0" fontId="12" fillId="29" borderId="10" xfId="35" applyFont="1" applyFill="1" applyBorder="1" applyAlignment="1" applyProtection="1">
      <alignment horizontal="center"/>
      <protection hidden="1"/>
    </xf>
    <xf numFmtId="43" fontId="12" fillId="29" borderId="10" xfId="1" applyFont="1" applyFill="1" applyBorder="1" applyAlignment="1" applyProtection="1">
      <alignment horizontal="center"/>
      <protection hidden="1"/>
    </xf>
    <xf numFmtId="0" fontId="14" fillId="29" borderId="10" xfId="35" applyFont="1" applyFill="1" applyBorder="1" applyAlignment="1" applyProtection="1">
      <alignment horizontal="center"/>
      <protection hidden="1"/>
    </xf>
    <xf numFmtId="43" fontId="14" fillId="29" borderId="10" xfId="1" applyFont="1" applyFill="1" applyBorder="1" applyAlignment="1" applyProtection="1">
      <alignment horizontal="center"/>
      <protection hidden="1"/>
    </xf>
    <xf numFmtId="0" fontId="11" fillId="26" borderId="24" xfId="35" applyFont="1" applyFill="1" applyBorder="1" applyAlignment="1" applyProtection="1">
      <alignment horizontal="left" vertical="center"/>
      <protection locked="0" hidden="1"/>
    </xf>
    <xf numFmtId="0" fontId="0" fillId="0" borderId="0" xfId="0" applyAlignment="1">
      <alignment horizontal="left" vertical="center" wrapText="1"/>
    </xf>
    <xf numFmtId="0" fontId="3" fillId="16" borderId="15" xfId="0" applyFont="1" applyFill="1" applyBorder="1" applyAlignment="1">
      <alignment horizontal="center" vertical="center" wrapText="1"/>
    </xf>
    <xf numFmtId="0" fontId="3" fillId="16" borderId="16" xfId="0" applyFont="1" applyFill="1" applyBorder="1" applyAlignment="1">
      <alignment horizontal="center"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47">
    <cellStyle name="20% - 强调文字颜色 1" xfId="6"/>
    <cellStyle name="20% - 强调文字颜色 2" xfId="5"/>
    <cellStyle name="20% - 强调文字颜色 3" xfId="7"/>
    <cellStyle name="20% - 强调文字颜色 4" xfId="9"/>
    <cellStyle name="20% - 强调文字颜色 5" xfId="10"/>
    <cellStyle name="20% - 强调文字颜色 6" xfId="12"/>
    <cellStyle name="40% - 强调文字颜色 1" xfId="15"/>
    <cellStyle name="40% - 强调文字颜色 2" xfId="16"/>
    <cellStyle name="40% - 强调文字颜色 3" xfId="17"/>
    <cellStyle name="40% - 强调文字颜色 4" xfId="19"/>
    <cellStyle name="40% - 强调文字颜色 5" xfId="20"/>
    <cellStyle name="40% - 强调文字颜色 6" xfId="21"/>
    <cellStyle name="60% - 强调文字颜色 1" xfId="22"/>
    <cellStyle name="60% - 强调文字颜色 2" xfId="24"/>
    <cellStyle name="60% - 强调文字颜色 3" xfId="27"/>
    <cellStyle name="60% - 强调文字颜色 4" xfId="28"/>
    <cellStyle name="60% - 强调文字颜色 5" xfId="30"/>
    <cellStyle name="60% - 强调文字颜色 6" xfId="31"/>
    <cellStyle name="百分比" xfId="3" builtinId="5"/>
    <cellStyle name="百分比_Sheet2" xfId="32"/>
    <cellStyle name="标题" xfId="4" builtinId="15" customBuiltin="1"/>
    <cellStyle name="标题 1" xfId="33" builtinId="16" customBuiltin="1"/>
    <cellStyle name="标题 2" xfId="34" builtinId="17" customBuiltin="1"/>
    <cellStyle name="标题 3" xfId="23" builtinId="18" customBuiltin="1"/>
    <cellStyle name="标题 4" xfId="25" builtinId="19" customBuiltin="1"/>
    <cellStyle name="差" xfId="18" builtinId="27" customBuiltin="1"/>
    <cellStyle name="常规" xfId="0" builtinId="0"/>
    <cellStyle name="常规_Sheet2" xfId="35"/>
    <cellStyle name="好" xfId="37" builtinId="26" customBuiltin="1"/>
    <cellStyle name="汇总" xfId="36" builtinId="25" customBuiltin="1"/>
    <cellStyle name="计算" xfId="38" builtinId="22" customBuiltin="1"/>
    <cellStyle name="检查单元格" xfId="39" builtinId="23" customBuiltin="1"/>
    <cellStyle name="解释性文本" xfId="40" builtinId="53" customBuiltin="1"/>
    <cellStyle name="警告文本" xfId="26" builtinId="11" customBuiltin="1"/>
    <cellStyle name="链接单元格" xfId="13" builtinId="24" customBuiltin="1"/>
    <cellStyle name="千位分隔" xfId="1" builtinId="3"/>
    <cellStyle name="千位分隔_Sheet2" xfId="41"/>
    <cellStyle name="强调文字颜色 1" xfId="11"/>
    <cellStyle name="强调文字颜色 2" xfId="14"/>
    <cellStyle name="强调文字颜色 3" xfId="42"/>
    <cellStyle name="强调文字颜色 4" xfId="2"/>
    <cellStyle name="强调文字颜色 5" xfId="43"/>
    <cellStyle name="强调文字颜色 6" xfId="44"/>
    <cellStyle name="适中" xfId="45" builtinId="28" customBuiltin="1"/>
    <cellStyle name="输出" xfId="29" builtinId="21" customBuiltin="1"/>
    <cellStyle name="输入" xfId="8" builtinId="20" customBuiltin="1"/>
    <cellStyle name="注释" xfId="46" builtinId="10" customBuiltin="1"/>
  </cellStyles>
  <dxfs count="2">
    <dxf>
      <fill>
        <patternFill>
          <fgColor indexed="64"/>
          <bgColor indexed="10"/>
        </patternFill>
      </fill>
    </dxf>
    <dxf>
      <font>
        <b val="0"/>
        <condense val="0"/>
        <extend val="0"/>
        <color auto="1"/>
      </font>
      <fill>
        <patternFill>
          <fgColor indexed="64"/>
          <bgColor indexed="1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2"/>
  <sheetViews>
    <sheetView tabSelected="1" workbookViewId="0">
      <selection activeCell="D3" sqref="D3"/>
    </sheetView>
  </sheetViews>
  <sheetFormatPr defaultColWidth="11.875" defaultRowHeight="13.5"/>
  <cols>
    <col min="1" max="1" width="14.125" style="42" customWidth="1"/>
    <col min="2" max="2" width="21.625" style="42" bestFit="1" customWidth="1"/>
    <col min="3" max="3" width="14.125" style="42" customWidth="1"/>
    <col min="4" max="4" width="14.75" style="42" customWidth="1"/>
    <col min="5" max="5" width="14.125" style="42" customWidth="1"/>
    <col min="6" max="6" width="14.75" style="43" customWidth="1"/>
    <col min="7" max="32" width="9" style="42" customWidth="1"/>
    <col min="33" max="224" width="11.875" style="42" customWidth="1"/>
    <col min="225" max="249" width="9" style="42" customWidth="1"/>
    <col min="250" max="250" width="10.75" style="42" customWidth="1"/>
    <col min="251" max="251" width="11.125" style="42" customWidth="1"/>
    <col min="252" max="252" width="5" style="42" bestFit="1" customWidth="1"/>
    <col min="253" max="253" width="13.875" style="42" customWidth="1"/>
    <col min="254" max="254" width="13" style="42" customWidth="1"/>
    <col min="255" max="255" width="12.25" style="42" customWidth="1"/>
    <col min="256" max="256" width="11.875" style="42"/>
  </cols>
  <sheetData>
    <row r="1" spans="1:6" ht="29.25" customHeight="1">
      <c r="A1" s="44" t="s">
        <v>106</v>
      </c>
      <c r="B1" s="45"/>
      <c r="C1" s="45"/>
      <c r="D1" s="45"/>
      <c r="E1" s="45"/>
      <c r="F1" s="46"/>
    </row>
    <row r="2" spans="1:6" ht="14.25">
      <c r="A2" s="47"/>
      <c r="B2" s="90"/>
      <c r="C2" s="90"/>
      <c r="D2" s="90"/>
      <c r="E2" s="48"/>
      <c r="F2" s="49"/>
    </row>
    <row r="3" spans="1:6" s="40" customFormat="1" ht="18.95" customHeight="1">
      <c r="A3" s="75" t="s">
        <v>0</v>
      </c>
      <c r="B3" s="76">
        <v>1000000</v>
      </c>
      <c r="C3" s="75" t="s">
        <v>1</v>
      </c>
      <c r="D3" s="77">
        <v>42217</v>
      </c>
      <c r="E3" s="75" t="s">
        <v>2</v>
      </c>
      <c r="F3" s="78">
        <f>B3</f>
        <v>1000000</v>
      </c>
    </row>
    <row r="4" spans="1:6" s="40" customFormat="1" ht="18.95" customHeight="1">
      <c r="A4" s="75" t="s">
        <v>3</v>
      </c>
      <c r="B4" s="79">
        <v>0</v>
      </c>
      <c r="C4" s="75" t="s">
        <v>4</v>
      </c>
      <c r="D4" s="80">
        <f>F3*F4</f>
        <v>0</v>
      </c>
      <c r="E4" s="75" t="s">
        <v>5</v>
      </c>
      <c r="F4" s="81">
        <v>0</v>
      </c>
    </row>
    <row r="5" spans="1:6" s="40" customFormat="1" ht="18.95" customHeight="1">
      <c r="A5" s="75" t="s">
        <v>6</v>
      </c>
      <c r="B5" s="76">
        <f>F3*B4</f>
        <v>0</v>
      </c>
      <c r="C5" s="75" t="s">
        <v>7</v>
      </c>
      <c r="D5" s="80">
        <f>F3*F5</f>
        <v>0</v>
      </c>
      <c r="E5" s="75" t="s">
        <v>8</v>
      </c>
      <c r="F5" s="81">
        <v>0</v>
      </c>
    </row>
    <row r="6" spans="1:6" s="40" customFormat="1" ht="18.95" customHeight="1">
      <c r="A6" s="75" t="s">
        <v>9</v>
      </c>
      <c r="B6" s="82">
        <v>5.5E-2</v>
      </c>
      <c r="C6" s="75" t="s">
        <v>10</v>
      </c>
      <c r="D6" s="75">
        <v>5</v>
      </c>
      <c r="E6" s="75" t="s">
        <v>11</v>
      </c>
      <c r="F6" s="75">
        <v>4</v>
      </c>
    </row>
    <row r="7" spans="1:6" s="40" customFormat="1" ht="18.95" customHeight="1">
      <c r="A7" s="75" t="s">
        <v>12</v>
      </c>
      <c r="B7" s="83">
        <f>PMT(B6*(1+B8)/4,D6*F6,-F3,,0)</f>
        <v>57530.53667906794</v>
      </c>
      <c r="C7" s="75" t="s">
        <v>13</v>
      </c>
      <c r="D7" s="75"/>
      <c r="E7" s="75" t="s">
        <v>14</v>
      </c>
      <c r="F7" s="75" t="s">
        <v>15</v>
      </c>
    </row>
    <row r="8" spans="1:6" s="40" customFormat="1" ht="18.95" customHeight="1">
      <c r="A8" s="75" t="s">
        <v>16</v>
      </c>
      <c r="B8" s="79"/>
      <c r="C8" s="75" t="s">
        <v>17</v>
      </c>
      <c r="D8" s="83">
        <f>B3*0.01%</f>
        <v>100</v>
      </c>
      <c r="E8" s="75" t="s">
        <v>18</v>
      </c>
      <c r="F8" s="75"/>
    </row>
    <row r="9" spans="1:6" ht="18.95" customHeight="1">
      <c r="A9" s="51"/>
      <c r="B9" s="51"/>
      <c r="C9" s="51"/>
      <c r="D9" s="51"/>
      <c r="E9" s="51"/>
      <c r="F9" s="52" t="s">
        <v>19</v>
      </c>
    </row>
    <row r="10" spans="1:6" ht="18.95" customHeight="1">
      <c r="A10" s="84"/>
      <c r="B10" s="85"/>
      <c r="C10" s="86" t="s">
        <v>20</v>
      </c>
      <c r="D10" s="86" t="s">
        <v>21</v>
      </c>
      <c r="E10" s="86" t="s">
        <v>22</v>
      </c>
      <c r="F10" s="87" t="s">
        <v>23</v>
      </c>
    </row>
    <row r="11" spans="1:6" s="41" customFormat="1" ht="18.95" customHeight="1">
      <c r="A11" s="53" t="s">
        <v>24</v>
      </c>
      <c r="B11" s="54"/>
      <c r="C11" s="54">
        <f>SUM(C16:C73)</f>
        <v>1150710.7335813583</v>
      </c>
      <c r="D11" s="54">
        <f>SUM(D16:D73)</f>
        <v>1000099.9999999998</v>
      </c>
      <c r="E11" s="54">
        <f>SUM(E16:E73)</f>
        <v>150610.73358135897</v>
      </c>
      <c r="F11" s="55">
        <v>0</v>
      </c>
    </row>
    <row r="12" spans="1:6" s="40" customFormat="1" ht="18.95" customHeight="1">
      <c r="A12" s="88" t="s">
        <v>25</v>
      </c>
      <c r="B12" s="88" t="s">
        <v>26</v>
      </c>
      <c r="C12" s="88" t="s">
        <v>27</v>
      </c>
      <c r="D12" s="88" t="s">
        <v>28</v>
      </c>
      <c r="E12" s="88" t="s">
        <v>29</v>
      </c>
      <c r="F12" s="89" t="s">
        <v>30</v>
      </c>
    </row>
    <row r="13" spans="1:6" ht="18.95" customHeight="1">
      <c r="A13" s="56" t="s">
        <v>31</v>
      </c>
      <c r="B13" s="57">
        <f>D3</f>
        <v>42217</v>
      </c>
      <c r="C13" s="58">
        <f>-B3+D4+D5</f>
        <v>-1000000</v>
      </c>
      <c r="D13" s="50"/>
      <c r="E13" s="59"/>
      <c r="F13" s="60"/>
    </row>
    <row r="14" spans="1:6" ht="18.95" customHeight="1">
      <c r="A14" s="56"/>
      <c r="B14" s="61"/>
      <c r="C14" s="58">
        <v>0</v>
      </c>
      <c r="D14" s="50"/>
      <c r="E14" s="59"/>
      <c r="F14" s="60"/>
    </row>
    <row r="15" spans="1:6" ht="18.95" customHeight="1">
      <c r="A15" s="56"/>
      <c r="B15" s="61"/>
      <c r="C15" s="58">
        <v>0</v>
      </c>
      <c r="D15" s="50"/>
      <c r="E15" s="59"/>
      <c r="F15" s="60"/>
    </row>
    <row r="16" spans="1:6" ht="18.95" customHeight="1">
      <c r="A16" s="62">
        <v>1</v>
      </c>
      <c r="B16" s="57">
        <f>DATE(YEAR(D3),MONTH(D3)+VLOOKUP($F$7,参数!K3:M7,3,0),DAY(B13))</f>
        <v>42309</v>
      </c>
      <c r="C16" s="63">
        <f>B7</f>
        <v>57530.53667906794</v>
      </c>
      <c r="D16" s="63">
        <f>C16-E16</f>
        <v>43780.53667906794</v>
      </c>
      <c r="E16" s="63">
        <f>F3*$B$6*(1+$B$8)/4</f>
        <v>13750</v>
      </c>
      <c r="F16" s="64">
        <f>F3-D16</f>
        <v>956219.46332093212</v>
      </c>
    </row>
    <row r="17" spans="1:6" ht="18.95" customHeight="1">
      <c r="A17" s="65"/>
      <c r="B17" s="57"/>
      <c r="C17" s="63">
        <v>0</v>
      </c>
      <c r="D17" s="63"/>
      <c r="E17" s="63"/>
      <c r="F17" s="64"/>
    </row>
    <row r="18" spans="1:6" ht="18.95" customHeight="1">
      <c r="A18" s="65"/>
      <c r="B18" s="57"/>
      <c r="C18" s="63">
        <v>0</v>
      </c>
      <c r="D18" s="63"/>
      <c r="E18" s="63"/>
      <c r="F18" s="64"/>
    </row>
    <row r="19" spans="1:6" ht="18.95" customHeight="1">
      <c r="A19" s="65">
        <v>2</v>
      </c>
      <c r="B19" s="57">
        <v>42449</v>
      </c>
      <c r="C19" s="63">
        <f>C16</f>
        <v>57530.53667906794</v>
      </c>
      <c r="D19" s="63">
        <f>C19-E19</f>
        <v>44382.519058405123</v>
      </c>
      <c r="E19" s="63">
        <f>F16*$B$6*(1+$B$8)/4</f>
        <v>13148.017620662817</v>
      </c>
      <c r="F19" s="64">
        <f>F16-D19</f>
        <v>911836.94426252705</v>
      </c>
    </row>
    <row r="20" spans="1:6" ht="18.95" customHeight="1">
      <c r="A20" s="65"/>
      <c r="B20" s="57"/>
      <c r="C20" s="63">
        <v>0</v>
      </c>
      <c r="D20" s="63"/>
      <c r="E20" s="63"/>
      <c r="F20" s="64"/>
    </row>
    <row r="21" spans="1:6" ht="18.95" customHeight="1">
      <c r="A21" s="65"/>
      <c r="B21" s="57"/>
      <c r="C21" s="63">
        <v>0</v>
      </c>
      <c r="D21" s="63"/>
      <c r="E21" s="63"/>
      <c r="F21" s="64"/>
    </row>
    <row r="22" spans="1:6" ht="18.95" customHeight="1">
      <c r="A22" s="62">
        <v>3</v>
      </c>
      <c r="B22" s="57">
        <v>42541</v>
      </c>
      <c r="C22" s="63">
        <f>C19</f>
        <v>57530.53667906794</v>
      </c>
      <c r="D22" s="63">
        <f>C22-E22</f>
        <v>44992.778695458197</v>
      </c>
      <c r="E22" s="63">
        <f>F19*$B$6*(1+$B$8)/4</f>
        <v>12537.757983609747</v>
      </c>
      <c r="F22" s="64">
        <f>F19-D22</f>
        <v>866844.16556706885</v>
      </c>
    </row>
    <row r="23" spans="1:6" ht="18.95" customHeight="1">
      <c r="A23" s="62"/>
      <c r="B23" s="57"/>
      <c r="C23" s="63">
        <v>0</v>
      </c>
      <c r="D23" s="63"/>
      <c r="E23" s="63"/>
      <c r="F23" s="64"/>
    </row>
    <row r="24" spans="1:6" ht="18.95" customHeight="1">
      <c r="A24" s="62"/>
      <c r="B24" s="57"/>
      <c r="C24" s="63">
        <v>0</v>
      </c>
      <c r="D24" s="63"/>
      <c r="E24" s="63"/>
      <c r="F24" s="64"/>
    </row>
    <row r="25" spans="1:6" ht="18.95" customHeight="1">
      <c r="A25" s="62">
        <v>4</v>
      </c>
      <c r="B25" s="57">
        <v>42633</v>
      </c>
      <c r="C25" s="63">
        <f>C22</f>
        <v>57530.53667906794</v>
      </c>
      <c r="D25" s="63">
        <f>C25-E25</f>
        <v>45611.429402520742</v>
      </c>
      <c r="E25" s="63">
        <f>F22*$B$6*(1+$B$8)/4</f>
        <v>11919.107276547196</v>
      </c>
      <c r="F25" s="64">
        <f>F22-D25</f>
        <v>821232.73616454809</v>
      </c>
    </row>
    <row r="26" spans="1:6" ht="18.95" customHeight="1">
      <c r="A26" s="62"/>
      <c r="B26" s="57"/>
      <c r="C26" s="63">
        <v>0</v>
      </c>
      <c r="D26" s="63"/>
      <c r="E26" s="63"/>
      <c r="F26" s="64"/>
    </row>
    <row r="27" spans="1:6" ht="18.95" customHeight="1">
      <c r="A27" s="62"/>
      <c r="B27" s="57"/>
      <c r="C27" s="63">
        <v>0</v>
      </c>
      <c r="D27" s="63"/>
      <c r="E27" s="63"/>
      <c r="F27" s="64"/>
    </row>
    <row r="28" spans="1:6" ht="18.95" customHeight="1">
      <c r="A28" s="62">
        <v>5</v>
      </c>
      <c r="B28" s="57">
        <v>42724</v>
      </c>
      <c r="C28" s="63">
        <f>C25</f>
        <v>57530.53667906794</v>
      </c>
      <c r="D28" s="63">
        <f>C28-E28</f>
        <v>46238.5865568054</v>
      </c>
      <c r="E28" s="63">
        <f>F25*$B$6*(1+$B$8)/4</f>
        <v>11291.950122262537</v>
      </c>
      <c r="F28" s="64">
        <f>F25-D28</f>
        <v>774994.14960774267</v>
      </c>
    </row>
    <row r="29" spans="1:6" ht="18.95" customHeight="1">
      <c r="A29" s="62"/>
      <c r="B29" s="57"/>
      <c r="C29" s="63">
        <v>0</v>
      </c>
      <c r="D29" s="63"/>
      <c r="E29" s="63"/>
      <c r="F29" s="64"/>
    </row>
    <row r="30" spans="1:6" ht="18.95" customHeight="1">
      <c r="A30" s="62"/>
      <c r="B30" s="57"/>
      <c r="C30" s="63">
        <v>0</v>
      </c>
      <c r="D30" s="63"/>
      <c r="E30" s="63"/>
      <c r="F30" s="64"/>
    </row>
    <row r="31" spans="1:6" ht="18.95" customHeight="1">
      <c r="A31" s="62">
        <v>6</v>
      </c>
      <c r="B31" s="57">
        <v>42814</v>
      </c>
      <c r="C31" s="63">
        <f>C28</f>
        <v>57530.53667906794</v>
      </c>
      <c r="D31" s="63">
        <f>C31-E31</f>
        <v>46874.367121961477</v>
      </c>
      <c r="E31" s="63">
        <f>F28*$B$6*(1+$B$8)/4</f>
        <v>10656.169557106461</v>
      </c>
      <c r="F31" s="64">
        <f>F28-D31</f>
        <v>728119.78248578124</v>
      </c>
    </row>
    <row r="32" spans="1:6" ht="18.95" customHeight="1">
      <c r="A32" s="62"/>
      <c r="B32" s="57"/>
      <c r="C32" s="63">
        <v>0</v>
      </c>
      <c r="D32" s="63"/>
      <c r="E32" s="63"/>
      <c r="F32" s="64"/>
    </row>
    <row r="33" spans="1:6" ht="18.95" customHeight="1">
      <c r="A33" s="62"/>
      <c r="B33" s="57"/>
      <c r="C33" s="63">
        <v>0</v>
      </c>
      <c r="D33" s="63"/>
      <c r="E33" s="63"/>
      <c r="F33" s="64"/>
    </row>
    <row r="34" spans="1:6" ht="18.95" customHeight="1">
      <c r="A34" s="62">
        <v>7</v>
      </c>
      <c r="B34" s="57">
        <v>42906</v>
      </c>
      <c r="C34" s="63">
        <f>C31</f>
        <v>57530.53667906794</v>
      </c>
      <c r="D34" s="63">
        <f>C34-E34</f>
        <v>47518.889669888449</v>
      </c>
      <c r="E34" s="63">
        <f>F31*$B$6*(1+$B$8)/4</f>
        <v>10011.647009179493</v>
      </c>
      <c r="F34" s="64">
        <f>F31-D34</f>
        <v>680600.89281589282</v>
      </c>
    </row>
    <row r="35" spans="1:6" ht="18.95" customHeight="1">
      <c r="A35" s="62"/>
      <c r="B35" s="57"/>
      <c r="C35" s="63">
        <v>0</v>
      </c>
      <c r="D35" s="63"/>
      <c r="E35" s="63"/>
      <c r="F35" s="64"/>
    </row>
    <row r="36" spans="1:6" ht="18.95" customHeight="1">
      <c r="A36" s="62"/>
      <c r="B36" s="57"/>
      <c r="C36" s="63">
        <v>0</v>
      </c>
      <c r="D36" s="63"/>
      <c r="E36" s="63"/>
      <c r="F36" s="64"/>
    </row>
    <row r="37" spans="1:6" ht="18.95" customHeight="1">
      <c r="A37" s="62">
        <v>8</v>
      </c>
      <c r="B37" s="57">
        <v>42998</v>
      </c>
      <c r="C37" s="63">
        <f>C34</f>
        <v>57530.53667906794</v>
      </c>
      <c r="D37" s="63">
        <f>C37-E37</f>
        <v>48172.274402849413</v>
      </c>
      <c r="E37" s="63">
        <f>F34*$B$6*(1+$B$8)/4</f>
        <v>9358.2622762185256</v>
      </c>
      <c r="F37" s="64">
        <f>F34-D37</f>
        <v>632428.61841304344</v>
      </c>
    </row>
    <row r="38" spans="1:6" ht="18.95" customHeight="1">
      <c r="A38" s="62"/>
      <c r="B38" s="57"/>
      <c r="C38" s="63">
        <v>0</v>
      </c>
      <c r="D38" s="63"/>
      <c r="E38" s="63"/>
      <c r="F38" s="64"/>
    </row>
    <row r="39" spans="1:6" ht="18.95" customHeight="1">
      <c r="A39" s="62"/>
      <c r="B39" s="57"/>
      <c r="C39" s="63">
        <v>0</v>
      </c>
      <c r="D39" s="63"/>
      <c r="E39" s="63"/>
      <c r="F39" s="64"/>
    </row>
    <row r="40" spans="1:6" ht="18.95" customHeight="1">
      <c r="A40" s="62">
        <v>9</v>
      </c>
      <c r="B40" s="57">
        <v>43089</v>
      </c>
      <c r="C40" s="63">
        <f>C37</f>
        <v>57530.53667906794</v>
      </c>
      <c r="D40" s="63">
        <f>C40-E40</f>
        <v>48834.643175888588</v>
      </c>
      <c r="E40" s="63">
        <f>F37*$B$6*(1+$B$8)/4</f>
        <v>8695.893503179348</v>
      </c>
      <c r="F40" s="64">
        <f>F37-D40</f>
        <v>583593.97523715487</v>
      </c>
    </row>
    <row r="41" spans="1:6" ht="18.95" customHeight="1">
      <c r="A41" s="62"/>
      <c r="B41" s="57"/>
      <c r="C41" s="63">
        <v>0</v>
      </c>
      <c r="D41" s="63"/>
      <c r="E41" s="63"/>
      <c r="F41" s="64"/>
    </row>
    <row r="42" spans="1:6" ht="18.95" customHeight="1">
      <c r="A42" s="62"/>
      <c r="B42" s="57"/>
      <c r="C42" s="63">
        <v>0</v>
      </c>
      <c r="D42" s="63"/>
      <c r="E42" s="63"/>
      <c r="F42" s="64"/>
    </row>
    <row r="43" spans="1:6" ht="18.95" customHeight="1">
      <c r="A43" s="62">
        <v>10</v>
      </c>
      <c r="B43" s="57">
        <v>43179</v>
      </c>
      <c r="C43" s="63">
        <f>C40</f>
        <v>57530.53667906794</v>
      </c>
      <c r="D43" s="63">
        <f>C43-E43</f>
        <v>49506.119519557062</v>
      </c>
      <c r="E43" s="63">
        <f>F40*$B$6*(1+$B$8)/4</f>
        <v>8024.4171595108792</v>
      </c>
      <c r="F43" s="64">
        <f>F40-D43</f>
        <v>534087.85571759776</v>
      </c>
    </row>
    <row r="44" spans="1:6" ht="18.95" customHeight="1">
      <c r="A44" s="62"/>
      <c r="B44" s="57"/>
      <c r="C44" s="63">
        <v>0</v>
      </c>
      <c r="D44" s="63"/>
      <c r="E44" s="63"/>
      <c r="F44" s="64"/>
    </row>
    <row r="45" spans="1:6" ht="18.95" customHeight="1">
      <c r="A45" s="62"/>
      <c r="B45" s="57"/>
      <c r="C45" s="63">
        <v>0</v>
      </c>
      <c r="D45" s="63"/>
      <c r="E45" s="63"/>
      <c r="F45" s="64"/>
    </row>
    <row r="46" spans="1:6" ht="18.95" customHeight="1">
      <c r="A46" s="62">
        <v>11</v>
      </c>
      <c r="B46" s="57">
        <v>43271</v>
      </c>
      <c r="C46" s="63">
        <f>C43</f>
        <v>57530.53667906794</v>
      </c>
      <c r="D46" s="63">
        <f>C46-E46</f>
        <v>50186.828662950968</v>
      </c>
      <c r="E46" s="63">
        <f>F43*$B$6*(1+$B$8)/4</f>
        <v>7343.7080161169697</v>
      </c>
      <c r="F46" s="64">
        <f>F43-D46</f>
        <v>483901.02705464681</v>
      </c>
    </row>
    <row r="47" spans="1:6" ht="18.95" customHeight="1">
      <c r="A47" s="62"/>
      <c r="B47" s="57"/>
      <c r="C47" s="63">
        <v>0</v>
      </c>
      <c r="D47" s="63"/>
      <c r="E47" s="63"/>
      <c r="F47" s="64"/>
    </row>
    <row r="48" spans="1:6" ht="18.95" customHeight="1">
      <c r="A48" s="62"/>
      <c r="B48" s="57"/>
      <c r="C48" s="63">
        <v>0</v>
      </c>
      <c r="D48" s="63"/>
      <c r="E48" s="63"/>
      <c r="F48" s="64"/>
    </row>
    <row r="49" spans="1:6" ht="18.95" customHeight="1">
      <c r="A49" s="62">
        <v>12</v>
      </c>
      <c r="B49" s="57">
        <v>43363</v>
      </c>
      <c r="C49" s="63">
        <f>C46</f>
        <v>57530.53667906794</v>
      </c>
      <c r="D49" s="63">
        <f>C49-E49</f>
        <v>50876.89755706655</v>
      </c>
      <c r="E49" s="63">
        <f>F46*$B$6*(1+$B$8)/4</f>
        <v>6653.6391220013938</v>
      </c>
      <c r="F49" s="64">
        <f>F46-D49</f>
        <v>433024.12949758023</v>
      </c>
    </row>
    <row r="50" spans="1:6" ht="18.95" customHeight="1">
      <c r="A50" s="62"/>
      <c r="B50" s="57"/>
      <c r="C50" s="63">
        <v>0</v>
      </c>
      <c r="D50" s="63"/>
      <c r="E50" s="63"/>
      <c r="F50" s="64"/>
    </row>
    <row r="51" spans="1:6" ht="18.95" customHeight="1">
      <c r="A51" s="62"/>
      <c r="B51" s="57"/>
      <c r="C51" s="63">
        <v>0</v>
      </c>
      <c r="D51" s="63"/>
      <c r="E51" s="63"/>
      <c r="F51" s="64"/>
    </row>
    <row r="52" spans="1:6" ht="18.95" customHeight="1">
      <c r="A52" s="62">
        <v>13</v>
      </c>
      <c r="B52" s="57">
        <v>43454</v>
      </c>
      <c r="C52" s="63">
        <f>C49</f>
        <v>57530.53667906794</v>
      </c>
      <c r="D52" s="63">
        <f>C52-E52</f>
        <v>51576.454898476208</v>
      </c>
      <c r="E52" s="63">
        <f>F49*$B$6*(1+$B$8)/4</f>
        <v>5954.0817805917286</v>
      </c>
      <c r="F52" s="64">
        <f>F49-D52</f>
        <v>381447.67459910404</v>
      </c>
    </row>
    <row r="53" spans="1:6" ht="18.95" customHeight="1">
      <c r="A53" s="62"/>
      <c r="B53" s="57"/>
      <c r="C53" s="63">
        <v>0</v>
      </c>
      <c r="D53" s="63"/>
      <c r="E53" s="63"/>
      <c r="F53" s="64"/>
    </row>
    <row r="54" spans="1:6" ht="18.95" customHeight="1">
      <c r="A54" s="62"/>
      <c r="B54" s="57"/>
      <c r="C54" s="63">
        <v>0</v>
      </c>
      <c r="D54" s="63"/>
      <c r="E54" s="63"/>
      <c r="F54" s="64"/>
    </row>
    <row r="55" spans="1:6" ht="18.95" customHeight="1">
      <c r="A55" s="62">
        <v>14</v>
      </c>
      <c r="B55" s="57">
        <v>43544</v>
      </c>
      <c r="C55" s="63">
        <f>C52</f>
        <v>57530.53667906794</v>
      </c>
      <c r="D55" s="63">
        <f>C55-E55</f>
        <v>52285.631153330258</v>
      </c>
      <c r="E55" s="63">
        <f>F52*$B$6*(1+$B$8)/4</f>
        <v>5244.9055257376804</v>
      </c>
      <c r="F55" s="64">
        <f>F52-D55</f>
        <v>329162.04344577377</v>
      </c>
    </row>
    <row r="56" spans="1:6" ht="18.95" customHeight="1">
      <c r="A56" s="62"/>
      <c r="B56" s="57"/>
      <c r="C56" s="63">
        <v>0</v>
      </c>
      <c r="D56" s="63"/>
      <c r="E56" s="63"/>
      <c r="F56" s="64"/>
    </row>
    <row r="57" spans="1:6" ht="18.95" customHeight="1">
      <c r="A57" s="62"/>
      <c r="B57" s="57"/>
      <c r="C57" s="63">
        <v>0</v>
      </c>
      <c r="D57" s="63"/>
      <c r="E57" s="63"/>
      <c r="F57" s="64"/>
    </row>
    <row r="58" spans="1:6" ht="18.95" customHeight="1">
      <c r="A58" s="62">
        <v>15</v>
      </c>
      <c r="B58" s="57">
        <v>43636</v>
      </c>
      <c r="C58" s="63">
        <f>C55</f>
        <v>57530.53667906794</v>
      </c>
      <c r="D58" s="63">
        <f>C58-E58</f>
        <v>53004.55858168855</v>
      </c>
      <c r="E58" s="63">
        <f>F55*$B$6*(1+$B$8)/4</f>
        <v>4525.9780973793895</v>
      </c>
      <c r="F58" s="64">
        <f>F55-D58</f>
        <v>276157.48486408521</v>
      </c>
    </row>
    <row r="59" spans="1:6" ht="18.95" customHeight="1">
      <c r="A59" s="62"/>
      <c r="B59" s="57"/>
      <c r="C59" s="63">
        <v>0</v>
      </c>
      <c r="D59" s="63"/>
      <c r="E59" s="63"/>
      <c r="F59" s="64"/>
    </row>
    <row r="60" spans="1:6" ht="18.95" customHeight="1">
      <c r="A60" s="62"/>
      <c r="B60" s="57"/>
      <c r="C60" s="63">
        <v>0</v>
      </c>
      <c r="D60" s="63"/>
      <c r="E60" s="63"/>
      <c r="F60" s="64"/>
    </row>
    <row r="61" spans="1:6" ht="18.95" customHeight="1">
      <c r="A61" s="62">
        <v>16</v>
      </c>
      <c r="B61" s="57">
        <v>43728</v>
      </c>
      <c r="C61" s="63">
        <f>C58</f>
        <v>57530.53667906794</v>
      </c>
      <c r="D61" s="63">
        <f>C61-E61</f>
        <v>53733.371262186767</v>
      </c>
      <c r="E61" s="63">
        <f>F58*$B$6*(1+$B$8)/4</f>
        <v>3797.1654168811715</v>
      </c>
      <c r="F61" s="64">
        <f>F58-D61</f>
        <v>222424.11360189845</v>
      </c>
    </row>
    <row r="62" spans="1:6" ht="18.95" customHeight="1">
      <c r="A62" s="62"/>
      <c r="B62" s="57"/>
      <c r="C62" s="63">
        <v>0</v>
      </c>
      <c r="D62" s="63"/>
      <c r="E62" s="63"/>
      <c r="F62" s="64"/>
    </row>
    <row r="63" spans="1:6" ht="18.95" customHeight="1">
      <c r="A63" s="62"/>
      <c r="B63" s="57"/>
      <c r="C63" s="63">
        <v>0</v>
      </c>
      <c r="D63" s="63"/>
      <c r="E63" s="63"/>
      <c r="F63" s="64"/>
    </row>
    <row r="64" spans="1:6" ht="18.95" customHeight="1">
      <c r="A64" s="62">
        <v>17</v>
      </c>
      <c r="B64" s="57">
        <v>43819</v>
      </c>
      <c r="C64" s="63">
        <f>C61</f>
        <v>57530.53667906794</v>
      </c>
      <c r="D64" s="63">
        <f>C64-E64</f>
        <v>54472.205117041834</v>
      </c>
      <c r="E64" s="63">
        <f>F61*$B$6*(1+$B$8)/4</f>
        <v>3058.3315620261037</v>
      </c>
      <c r="F64" s="64">
        <f>F61-D64</f>
        <v>167951.90848485663</v>
      </c>
    </row>
    <row r="65" spans="1:6" ht="18.95" customHeight="1">
      <c r="A65" s="62"/>
      <c r="B65" s="57"/>
      <c r="C65" s="63">
        <v>0</v>
      </c>
      <c r="D65" s="63"/>
      <c r="E65" s="63"/>
      <c r="F65" s="64"/>
    </row>
    <row r="66" spans="1:6" ht="18.95" customHeight="1">
      <c r="A66" s="62"/>
      <c r="B66" s="57"/>
      <c r="C66" s="63">
        <v>0</v>
      </c>
      <c r="D66" s="63"/>
      <c r="E66" s="63"/>
      <c r="F66" s="64"/>
    </row>
    <row r="67" spans="1:6" ht="18.95" customHeight="1">
      <c r="A67" s="62">
        <v>18</v>
      </c>
      <c r="B67" s="57">
        <v>43910</v>
      </c>
      <c r="C67" s="63">
        <f>C64</f>
        <v>57530.53667906794</v>
      </c>
      <c r="D67" s="63">
        <f>C67-E67</f>
        <v>55221.197937401164</v>
      </c>
      <c r="E67" s="63">
        <f>F64*$B$6*(1+$B$8)/4</f>
        <v>2309.3387416667788</v>
      </c>
      <c r="F67" s="64">
        <f>F64-D67</f>
        <v>112730.71054745547</v>
      </c>
    </row>
    <row r="68" spans="1:6" ht="18.95" customHeight="1">
      <c r="A68" s="62"/>
      <c r="B68" s="57"/>
      <c r="C68" s="63">
        <v>0</v>
      </c>
      <c r="D68" s="63"/>
      <c r="E68" s="63"/>
      <c r="F68" s="64"/>
    </row>
    <row r="69" spans="1:6" ht="18.95" customHeight="1">
      <c r="A69" s="62"/>
      <c r="B69" s="57"/>
      <c r="C69" s="63">
        <v>0</v>
      </c>
      <c r="D69" s="63"/>
      <c r="E69" s="63"/>
      <c r="F69" s="64"/>
    </row>
    <row r="70" spans="1:6" ht="18.95" customHeight="1">
      <c r="A70" s="62">
        <v>19</v>
      </c>
      <c r="B70" s="57">
        <v>44002</v>
      </c>
      <c r="C70" s="63">
        <f>C67</f>
        <v>57530.53667906794</v>
      </c>
      <c r="D70" s="63">
        <f>C70-E70</f>
        <v>55980.489409040427</v>
      </c>
      <c r="E70" s="63">
        <f>F67*$B$6*(1+$B$8)/4</f>
        <v>1550.0472700275127</v>
      </c>
      <c r="F70" s="64">
        <f>F67-D70</f>
        <v>56750.221138415043</v>
      </c>
    </row>
    <row r="71" spans="1:6" ht="18.95" customHeight="1">
      <c r="A71" s="62"/>
      <c r="B71" s="57"/>
      <c r="C71" s="63">
        <v>0</v>
      </c>
      <c r="D71" s="63"/>
      <c r="E71" s="63"/>
      <c r="F71" s="64"/>
    </row>
    <row r="72" spans="1:6" ht="18.95" customHeight="1">
      <c r="A72" s="62"/>
      <c r="B72" s="57"/>
      <c r="C72" s="63">
        <v>0</v>
      </c>
      <c r="D72" s="63"/>
      <c r="E72" s="63"/>
      <c r="F72" s="64"/>
    </row>
    <row r="73" spans="1:6" ht="18.95" customHeight="1">
      <c r="A73" s="62">
        <v>20</v>
      </c>
      <c r="B73" s="57">
        <v>44094</v>
      </c>
      <c r="C73" s="63">
        <f>C70-D5+D8</f>
        <v>57630.53667906794</v>
      </c>
      <c r="D73" s="63">
        <f>C73-E73</f>
        <v>56850.22113841473</v>
      </c>
      <c r="E73" s="63">
        <f>F70*$B$6*(1+$B$8)/4</f>
        <v>780.31554065320688</v>
      </c>
      <c r="F73" s="64">
        <f>F70-D73</f>
        <v>-99.999999999687134</v>
      </c>
    </row>
    <row r="74" spans="1:6" ht="18.95" customHeight="1">
      <c r="A74" s="62"/>
      <c r="B74" s="72" t="s">
        <v>32</v>
      </c>
      <c r="C74" s="58"/>
      <c r="D74" s="63"/>
      <c r="E74" s="63"/>
      <c r="F74" s="64"/>
    </row>
    <row r="75" spans="1:6" ht="19.5" customHeight="1">
      <c r="A75" s="66"/>
      <c r="B75" s="73" t="s">
        <v>33</v>
      </c>
      <c r="C75" s="67">
        <f>IRR(C13:C73,0.001)*12</f>
        <v>5.4780259025741351E-2</v>
      </c>
      <c r="D75" s="66"/>
      <c r="E75" s="66"/>
      <c r="F75" s="68"/>
    </row>
    <row r="76" spans="1:6" ht="26.1" customHeight="1">
      <c r="A76" s="69"/>
      <c r="B76" s="74" t="s">
        <v>34</v>
      </c>
      <c r="C76" s="70">
        <f>C75/1.17</f>
        <v>4.6820734210035346E-2</v>
      </c>
      <c r="D76" s="69"/>
      <c r="E76" s="69"/>
      <c r="F76" s="71"/>
    </row>
    <row r="92" spans="6:6">
      <c r="F92" s="42"/>
    </row>
  </sheetData>
  <protectedRanges>
    <protectedRange password="CC3D" sqref="D3" name="区域1_1_2_2"/>
  </protectedRanges>
  <mergeCells count="1">
    <mergeCell ref="B2:D2"/>
  </mergeCells>
  <phoneticPr fontId="2" type="noConversion"/>
  <conditionalFormatting sqref="B7 D8">
    <cfRule type="cellIs" dxfId="1" priority="1" stopIfTrue="1" operator="equal">
      <formula>"right"</formula>
    </cfRule>
    <cfRule type="cellIs" dxfId="0" priority="2" stopIfTrue="1" operator="equal">
      <formula>"error"</formula>
    </cfRule>
  </conditionalFormatting>
  <pageMargins left="0.70833333333333337" right="0.70833333333333337" top="1.1000000000000001" bottom="0.74791666666666667" header="0.43958333333333333" footer="0.31458333333333333"/>
  <pageSetup paperSize="9" orientation="portrait"/>
  <headerFooter scaleWithDoc="0" alignWithMargins="0">
    <oddHeader>&amp;L表4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workbookViewId="0">
      <selection activeCell="L31" sqref="L31"/>
    </sheetView>
  </sheetViews>
  <sheetFormatPr defaultColWidth="8.875" defaultRowHeight="13.5"/>
  <cols>
    <col min="1" max="1" width="9" style="1" bestFit="1" customWidth="1"/>
    <col min="2" max="3" width="10.125" style="1" customWidth="1"/>
    <col min="4" max="5" width="9.375" style="1" customWidth="1"/>
    <col min="6" max="6" width="9" style="1" customWidth="1"/>
    <col min="7" max="7" width="10.25" style="1" customWidth="1"/>
    <col min="8" max="8" width="9.125" style="1" customWidth="1"/>
    <col min="9" max="9" width="8.875" style="1" hidden="1" customWidth="1"/>
    <col min="10" max="32" width="9" style="1" bestFit="1" customWidth="1"/>
    <col min="33" max="16384" width="8.875" style="1"/>
  </cols>
  <sheetData>
    <row r="1" spans="1:10" ht="23.25" customHeight="1">
      <c r="A1" s="1" t="s">
        <v>35</v>
      </c>
    </row>
    <row r="2" spans="1:10">
      <c r="A2" s="34" t="s">
        <v>36</v>
      </c>
      <c r="B2" s="6">
        <v>20600</v>
      </c>
      <c r="C2" s="34" t="s">
        <v>37</v>
      </c>
      <c r="D2" s="35">
        <v>5.7599999999999998E-2</v>
      </c>
      <c r="E2" s="34" t="s">
        <v>38</v>
      </c>
      <c r="F2" s="35">
        <v>5.8999999999999997E-2</v>
      </c>
      <c r="G2" s="34" t="s">
        <v>39</v>
      </c>
      <c r="H2" s="9">
        <v>5.5350000000000003E-2</v>
      </c>
      <c r="I2" s="6"/>
    </row>
    <row r="3" spans="1:10" s="33" customFormat="1" ht="30.75" customHeight="1">
      <c r="A3" s="36" t="s">
        <v>40</v>
      </c>
      <c r="B3" s="36" t="s">
        <v>41</v>
      </c>
      <c r="C3" s="37" t="s">
        <v>42</v>
      </c>
      <c r="D3" s="36" t="s">
        <v>43</v>
      </c>
      <c r="E3" s="36" t="s">
        <v>44</v>
      </c>
      <c r="F3" s="36" t="s">
        <v>45</v>
      </c>
      <c r="G3" s="36" t="s">
        <v>46</v>
      </c>
      <c r="H3" s="36" t="s">
        <v>47</v>
      </c>
      <c r="I3" s="39" t="s">
        <v>48</v>
      </c>
    </row>
    <row r="4" spans="1:10">
      <c r="A4" s="34" t="s">
        <v>49</v>
      </c>
      <c r="B4" s="6"/>
      <c r="C4" s="8">
        <f>(B17-B2)/B2</f>
        <v>9.2233009708737865E-2</v>
      </c>
      <c r="D4" s="6"/>
      <c r="E4" s="6"/>
      <c r="F4" s="6"/>
      <c r="G4" s="6"/>
      <c r="H4" s="6"/>
      <c r="I4" s="6"/>
      <c r="J4" s="13"/>
    </row>
    <row r="5" spans="1:10">
      <c r="A5" s="6">
        <v>1</v>
      </c>
      <c r="B5" s="6">
        <v>1875</v>
      </c>
      <c r="C5" s="38">
        <f>B2*H2/4</f>
        <v>285.05250000000001</v>
      </c>
      <c r="D5" s="38">
        <v>1900</v>
      </c>
      <c r="E5" s="38">
        <f t="shared" ref="E5:E16" si="0">(D5+C5)*0.15</f>
        <v>327.75787499999996</v>
      </c>
      <c r="F5" s="38">
        <f>B5-E5</f>
        <v>1547.242125</v>
      </c>
      <c r="G5" s="38">
        <f>B5-C5</f>
        <v>1589.9475</v>
      </c>
      <c r="H5" s="38">
        <f>$B$2-G5</f>
        <v>19010.052500000002</v>
      </c>
      <c r="I5" s="6">
        <f>1/POWER((1+0.0535/4),A5)</f>
        <v>0.98680152954237088</v>
      </c>
      <c r="J5" s="13"/>
    </row>
    <row r="6" spans="1:10">
      <c r="A6" s="6">
        <v>2</v>
      </c>
      <c r="B6" s="6">
        <v>1875</v>
      </c>
      <c r="C6" s="38">
        <f>H5*$H$2/4</f>
        <v>263.05160146875005</v>
      </c>
      <c r="D6" s="38">
        <v>1900</v>
      </c>
      <c r="E6" s="38">
        <f t="shared" si="0"/>
        <v>324.45774022031247</v>
      </c>
      <c r="F6" s="38">
        <f t="shared" ref="F6:F16" si="1">B6-E6</f>
        <v>1550.5422597796876</v>
      </c>
      <c r="G6" s="38">
        <f t="shared" ref="G6:G15" si="2">B6-C6</f>
        <v>1611.9483985312499</v>
      </c>
      <c r="H6" s="38">
        <f>H5-G6</f>
        <v>17398.104101468751</v>
      </c>
      <c r="I6" s="6">
        <f t="shared" ref="I6:I16" si="3">1/POWER((1+0.0535/4),A6)</f>
        <v>0.9737772587071627</v>
      </c>
    </row>
    <row r="7" spans="1:10">
      <c r="A7" s="6">
        <v>3</v>
      </c>
      <c r="B7" s="6">
        <v>1875</v>
      </c>
      <c r="C7" s="38">
        <f t="shared" ref="C7:C16" si="4">H6*$H$2/4</f>
        <v>240.74626550407385</v>
      </c>
      <c r="D7" s="38">
        <v>1900</v>
      </c>
      <c r="E7" s="38">
        <f t="shared" si="0"/>
        <v>321.1119398256111</v>
      </c>
      <c r="F7" s="38">
        <f t="shared" si="1"/>
        <v>1553.888060174389</v>
      </c>
      <c r="G7" s="38">
        <f t="shared" si="2"/>
        <v>1634.2537344959262</v>
      </c>
      <c r="H7" s="38">
        <f>H6-G7</f>
        <v>15763.850366972825</v>
      </c>
      <c r="I7" s="6">
        <f t="shared" si="3"/>
        <v>0.96092488832580514</v>
      </c>
    </row>
    <row r="8" spans="1:10">
      <c r="A8" s="6">
        <v>4</v>
      </c>
      <c r="B8" s="6">
        <v>1875</v>
      </c>
      <c r="C8" s="38">
        <f t="shared" si="4"/>
        <v>218.1322794529865</v>
      </c>
      <c r="D8" s="38">
        <v>1900</v>
      </c>
      <c r="E8" s="38">
        <f t="shared" si="0"/>
        <v>317.71984191794797</v>
      </c>
      <c r="F8" s="38">
        <f t="shared" si="1"/>
        <v>1557.2801580820519</v>
      </c>
      <c r="G8" s="38">
        <f t="shared" si="2"/>
        <v>1656.8677205470135</v>
      </c>
      <c r="H8" s="38">
        <f t="shared" ref="H8:H16" si="5">H7-G8</f>
        <v>14106.982646425811</v>
      </c>
      <c r="I8" s="6">
        <f t="shared" si="3"/>
        <v>0.94824214957523634</v>
      </c>
    </row>
    <row r="9" spans="1:10">
      <c r="A9" s="6">
        <v>5</v>
      </c>
      <c r="B9" s="6">
        <v>1875</v>
      </c>
      <c r="C9" s="38">
        <f t="shared" si="4"/>
        <v>195.20537236991717</v>
      </c>
      <c r="D9" s="38">
        <v>1900</v>
      </c>
      <c r="E9" s="38">
        <f t="shared" si="0"/>
        <v>314.28080585548759</v>
      </c>
      <c r="F9" s="38">
        <f t="shared" si="1"/>
        <v>1560.7191941445124</v>
      </c>
      <c r="G9" s="38">
        <f t="shared" si="2"/>
        <v>1679.7946276300829</v>
      </c>
      <c r="H9" s="38">
        <f t="shared" si="5"/>
        <v>12427.188018795729</v>
      </c>
      <c r="I9" s="6">
        <f t="shared" si="3"/>
        <v>0.9357268035773888</v>
      </c>
    </row>
    <row r="10" spans="1:10">
      <c r="A10" s="6">
        <v>6</v>
      </c>
      <c r="B10" s="6">
        <v>1875</v>
      </c>
      <c r="C10" s="38">
        <f t="shared" si="4"/>
        <v>171.9612142100859</v>
      </c>
      <c r="D10" s="38">
        <v>1900</v>
      </c>
      <c r="E10" s="38">
        <f t="shared" si="0"/>
        <v>310.79418213151285</v>
      </c>
      <c r="F10" s="38">
        <f t="shared" si="1"/>
        <v>1564.2058178684872</v>
      </c>
      <c r="G10" s="38">
        <f t="shared" si="2"/>
        <v>1703.0387857899141</v>
      </c>
      <c r="H10" s="38">
        <f t="shared" si="5"/>
        <v>10724.149233005814</v>
      </c>
      <c r="I10" s="6">
        <f t="shared" si="3"/>
        <v>0.923376641003961</v>
      </c>
    </row>
    <row r="11" spans="1:10">
      <c r="A11" s="6">
        <v>7</v>
      </c>
      <c r="B11" s="6">
        <v>1875</v>
      </c>
      <c r="C11" s="38">
        <f t="shared" si="4"/>
        <v>148.39541501171794</v>
      </c>
      <c r="D11" s="38">
        <v>1900</v>
      </c>
      <c r="E11" s="38">
        <f t="shared" si="0"/>
        <v>307.25931225175765</v>
      </c>
      <c r="F11" s="38">
        <f t="shared" si="1"/>
        <v>1567.7406877482424</v>
      </c>
      <c r="G11" s="38">
        <f t="shared" si="2"/>
        <v>1726.6045849882821</v>
      </c>
      <c r="H11" s="38">
        <f t="shared" si="5"/>
        <v>8997.5446480175306</v>
      </c>
      <c r="I11" s="6">
        <f t="shared" si="3"/>
        <v>0.91118948168640534</v>
      </c>
    </row>
    <row r="12" spans="1:10">
      <c r="A12" s="6">
        <v>8</v>
      </c>
      <c r="B12" s="6">
        <v>1875</v>
      </c>
      <c r="C12" s="38">
        <f t="shared" si="4"/>
        <v>124.50352406694259</v>
      </c>
      <c r="D12" s="38">
        <v>1900</v>
      </c>
      <c r="E12" s="38">
        <f t="shared" si="0"/>
        <v>303.6755286100414</v>
      </c>
      <c r="F12" s="38">
        <f t="shared" si="1"/>
        <v>1571.3244713899585</v>
      </c>
      <c r="G12" s="38">
        <f t="shared" si="2"/>
        <v>1750.4964759330574</v>
      </c>
      <c r="H12" s="38">
        <f t="shared" si="5"/>
        <v>7247.0481720844728</v>
      </c>
      <c r="I12" s="6">
        <f t="shared" si="3"/>
        <v>0.89916317423106484</v>
      </c>
    </row>
    <row r="13" spans="1:10">
      <c r="A13" s="6">
        <v>9</v>
      </c>
      <c r="B13" s="6">
        <v>1875</v>
      </c>
      <c r="C13" s="38">
        <f t="shared" si="4"/>
        <v>100.2810290812189</v>
      </c>
      <c r="D13" s="38">
        <v>1900</v>
      </c>
      <c r="E13" s="38">
        <f t="shared" si="0"/>
        <v>300.04215436218283</v>
      </c>
      <c r="F13" s="38">
        <f t="shared" si="1"/>
        <v>1574.9578456378172</v>
      </c>
      <c r="G13" s="38">
        <f t="shared" si="2"/>
        <v>1774.718970918781</v>
      </c>
      <c r="H13" s="38">
        <f t="shared" si="5"/>
        <v>5472.3292011656922</v>
      </c>
      <c r="I13" s="6">
        <f t="shared" si="3"/>
        <v>0.88729559563938809</v>
      </c>
    </row>
    <row r="14" spans="1:10">
      <c r="A14" s="6">
        <v>10</v>
      </c>
      <c r="B14" s="6">
        <v>1875</v>
      </c>
      <c r="C14" s="38">
        <f t="shared" si="4"/>
        <v>75.723355321130271</v>
      </c>
      <c r="D14" s="38">
        <v>1900</v>
      </c>
      <c r="E14" s="38">
        <f t="shared" si="0"/>
        <v>296.35850329816952</v>
      </c>
      <c r="F14" s="38">
        <f t="shared" si="1"/>
        <v>1578.6414967018304</v>
      </c>
      <c r="G14" s="38">
        <f t="shared" si="2"/>
        <v>1799.2766446788696</v>
      </c>
      <c r="H14" s="38">
        <f t="shared" si="5"/>
        <v>3673.0525564868226</v>
      </c>
      <c r="I14" s="6">
        <f t="shared" si="3"/>
        <v>0.87558465093315718</v>
      </c>
    </row>
    <row r="15" spans="1:10">
      <c r="A15" s="6">
        <v>11</v>
      </c>
      <c r="B15" s="6">
        <v>1875</v>
      </c>
      <c r="C15" s="38">
        <f t="shared" si="4"/>
        <v>50.825864750386408</v>
      </c>
      <c r="D15" s="38">
        <v>1900</v>
      </c>
      <c r="E15" s="38">
        <f t="shared" si="0"/>
        <v>292.62387971255794</v>
      </c>
      <c r="F15" s="38">
        <f t="shared" si="1"/>
        <v>1582.3761202874421</v>
      </c>
      <c r="G15" s="38">
        <f t="shared" si="2"/>
        <v>1824.1741352496135</v>
      </c>
      <c r="H15" s="38">
        <f t="shared" si="5"/>
        <v>1848.8784212372091</v>
      </c>
      <c r="I15" s="6">
        <f t="shared" si="3"/>
        <v>0.86402827278466254</v>
      </c>
    </row>
    <row r="16" spans="1:10" ht="14.25" customHeight="1">
      <c r="A16" s="6">
        <v>12</v>
      </c>
      <c r="B16" s="6">
        <v>1875</v>
      </c>
      <c r="C16" s="38">
        <f t="shared" si="4"/>
        <v>25.583855153869884</v>
      </c>
      <c r="D16" s="38">
        <v>1900</v>
      </c>
      <c r="E16" s="38">
        <f t="shared" si="0"/>
        <v>288.83757827308051</v>
      </c>
      <c r="F16" s="38">
        <f t="shared" si="1"/>
        <v>1586.1624217269195</v>
      </c>
      <c r="G16" s="38">
        <v>1849</v>
      </c>
      <c r="H16" s="38">
        <f t="shared" si="5"/>
        <v>-0.12157876279093216</v>
      </c>
      <c r="I16" s="6">
        <f t="shared" si="3"/>
        <v>0.85262442115175774</v>
      </c>
    </row>
    <row r="17" spans="1:9">
      <c r="A17" s="6" t="s">
        <v>24</v>
      </c>
      <c r="B17" s="38">
        <f t="shared" ref="B17:G17" si="6">SUM(B5:B16)</f>
        <v>22500</v>
      </c>
      <c r="C17" s="38">
        <f t="shared" si="6"/>
        <v>1899.4622763910795</v>
      </c>
      <c r="D17" s="38">
        <f t="shared" si="6"/>
        <v>22800</v>
      </c>
      <c r="E17" s="38">
        <f t="shared" si="6"/>
        <v>3704.9193414586621</v>
      </c>
      <c r="F17" s="38">
        <f t="shared" si="6"/>
        <v>18795.080658541337</v>
      </c>
      <c r="G17" s="38">
        <f t="shared" si="6"/>
        <v>20600.121578762792</v>
      </c>
      <c r="H17" s="38"/>
      <c r="I17" s="38"/>
    </row>
    <row r="18" spans="1:9">
      <c r="A18" s="34" t="s">
        <v>50</v>
      </c>
      <c r="B18" s="6"/>
      <c r="C18" s="8">
        <f>(B39-B2)/B2</f>
        <v>0.15825242718446603</v>
      </c>
      <c r="D18" s="6"/>
      <c r="E18" s="6"/>
      <c r="F18" s="6"/>
      <c r="G18" s="6"/>
      <c r="H18" s="6"/>
      <c r="I18" s="6"/>
    </row>
    <row r="19" spans="1:9">
      <c r="A19" s="6">
        <v>1</v>
      </c>
      <c r="B19" s="38">
        <v>1193</v>
      </c>
      <c r="C19" s="38">
        <f>B2*D2/4</f>
        <v>296.64</v>
      </c>
      <c r="D19" s="38">
        <v>1900</v>
      </c>
      <c r="E19" s="38">
        <f t="shared" ref="E19:E23" si="7">(D19+C19)*0.15</f>
        <v>329.49599999999998</v>
      </c>
      <c r="F19" s="38">
        <f t="shared" ref="F19:F23" si="8">B19-E19</f>
        <v>863.50400000000002</v>
      </c>
      <c r="G19" s="38">
        <f>B19-C19</f>
        <v>896.36</v>
      </c>
      <c r="H19" s="38">
        <f>$B$2-G19</f>
        <v>19703.64</v>
      </c>
      <c r="I19" s="6">
        <f t="shared" ref="I19:I23" si="9">1/POWER(1.0576,A19)</f>
        <v>0.94553706505294999</v>
      </c>
    </row>
    <row r="20" spans="1:9">
      <c r="A20" s="6">
        <v>2</v>
      </c>
      <c r="B20" s="38">
        <v>1193</v>
      </c>
      <c r="C20" s="38">
        <f>H19*$D$2/4</f>
        <v>283.732416</v>
      </c>
      <c r="D20" s="38">
        <v>1900</v>
      </c>
      <c r="E20" s="38">
        <f t="shared" si="7"/>
        <v>327.55986239999999</v>
      </c>
      <c r="F20" s="38">
        <f t="shared" si="8"/>
        <v>865.44013760000007</v>
      </c>
      <c r="G20" s="38">
        <f t="shared" ref="G20:G37" si="10">B20-C20</f>
        <v>909.26758399999994</v>
      </c>
      <c r="H20" s="38">
        <f>H19-G20</f>
        <v>18794.372415999998</v>
      </c>
      <c r="I20" s="6">
        <f t="shared" si="9"/>
        <v>0.8940403413889465</v>
      </c>
    </row>
    <row r="21" spans="1:9">
      <c r="A21" s="6">
        <v>3</v>
      </c>
      <c r="B21" s="38">
        <v>1193</v>
      </c>
      <c r="C21" s="38">
        <f t="shared" ref="C21:C38" si="11">H20*$D$2/4</f>
        <v>270.63896279039994</v>
      </c>
      <c r="D21" s="38">
        <v>1900</v>
      </c>
      <c r="E21" s="38">
        <f t="shared" si="7"/>
        <v>325.59584441855998</v>
      </c>
      <c r="F21" s="38">
        <f t="shared" si="8"/>
        <v>867.40415558144002</v>
      </c>
      <c r="G21" s="38">
        <f t="shared" si="10"/>
        <v>922.3610372096</v>
      </c>
      <c r="H21" s="38">
        <f t="shared" ref="H21:H38" si="12">H20-G21</f>
        <v>17872.011378790397</v>
      </c>
      <c r="I21" s="6">
        <f t="shared" si="9"/>
        <v>0.84534828043584187</v>
      </c>
    </row>
    <row r="22" spans="1:9">
      <c r="A22" s="6">
        <v>4</v>
      </c>
      <c r="B22" s="38">
        <v>1193</v>
      </c>
      <c r="C22" s="38">
        <f t="shared" si="11"/>
        <v>257.35696385458169</v>
      </c>
      <c r="D22" s="38">
        <v>1900</v>
      </c>
      <c r="E22" s="38">
        <f t="shared" si="7"/>
        <v>323.60354457818727</v>
      </c>
      <c r="F22" s="38">
        <f t="shared" si="8"/>
        <v>869.39645542181279</v>
      </c>
      <c r="G22" s="38">
        <f t="shared" si="10"/>
        <v>935.64303614541836</v>
      </c>
      <c r="H22" s="38">
        <f t="shared" si="12"/>
        <v>16936.368342644979</v>
      </c>
      <c r="I22" s="6">
        <f t="shared" si="9"/>
        <v>0.79930813203086404</v>
      </c>
    </row>
    <row r="23" spans="1:9" ht="16.5" customHeight="1">
      <c r="A23" s="6">
        <v>5</v>
      </c>
      <c r="B23" s="38">
        <v>1193</v>
      </c>
      <c r="C23" s="38">
        <f t="shared" si="11"/>
        <v>243.88370413408768</v>
      </c>
      <c r="D23" s="38">
        <v>1900</v>
      </c>
      <c r="E23" s="38">
        <f t="shared" si="7"/>
        <v>321.58255562011311</v>
      </c>
      <c r="F23" s="38">
        <f t="shared" si="8"/>
        <v>871.41744437988689</v>
      </c>
      <c r="G23" s="38">
        <f t="shared" si="10"/>
        <v>949.11629586591232</v>
      </c>
      <c r="H23" s="38">
        <f t="shared" si="12"/>
        <v>15987.252046779067</v>
      </c>
      <c r="I23" s="6">
        <f t="shared" si="9"/>
        <v>0.7557754652334191</v>
      </c>
    </row>
    <row r="24" spans="1:9" ht="16.5" customHeight="1">
      <c r="A24" s="6">
        <v>6</v>
      </c>
      <c r="B24" s="38">
        <v>1193</v>
      </c>
      <c r="C24" s="38">
        <f t="shared" si="11"/>
        <v>230.21642947361858</v>
      </c>
      <c r="D24" s="38">
        <v>1900</v>
      </c>
      <c r="E24" s="38">
        <f t="shared" ref="E24:E38" si="13">(D24+C24)*0.15</f>
        <v>319.53246442104279</v>
      </c>
      <c r="F24" s="38">
        <f t="shared" ref="F24:F38" si="14">B24-E24</f>
        <v>873.46753557895727</v>
      </c>
      <c r="G24" s="38">
        <f t="shared" si="10"/>
        <v>962.78357052638148</v>
      </c>
      <c r="H24" s="38">
        <f t="shared" si="12"/>
        <v>15024.468476252685</v>
      </c>
      <c r="I24" s="6"/>
    </row>
    <row r="25" spans="1:9" ht="16.5" customHeight="1">
      <c r="A25" s="6">
        <v>7</v>
      </c>
      <c r="B25" s="38">
        <v>1193</v>
      </c>
      <c r="C25" s="38">
        <f t="shared" si="11"/>
        <v>216.35234605803865</v>
      </c>
      <c r="D25" s="38">
        <v>1900</v>
      </c>
      <c r="E25" s="38">
        <f t="shared" si="13"/>
        <v>317.45285190870578</v>
      </c>
      <c r="F25" s="38">
        <f t="shared" si="14"/>
        <v>875.54714809129428</v>
      </c>
      <c r="G25" s="38">
        <f t="shared" si="10"/>
        <v>976.64765394196138</v>
      </c>
      <c r="H25" s="38">
        <f t="shared" si="12"/>
        <v>14047.820822310723</v>
      </c>
      <c r="I25" s="6"/>
    </row>
    <row r="26" spans="1:9" ht="16.5" customHeight="1">
      <c r="A26" s="6">
        <v>8</v>
      </c>
      <c r="B26" s="38">
        <v>1193</v>
      </c>
      <c r="C26" s="38">
        <f t="shared" si="11"/>
        <v>202.2886198412744</v>
      </c>
      <c r="D26" s="38">
        <v>1900</v>
      </c>
      <c r="E26" s="38">
        <f t="shared" si="13"/>
        <v>315.34329297619115</v>
      </c>
      <c r="F26" s="38">
        <f t="shared" si="14"/>
        <v>877.65670702380885</v>
      </c>
      <c r="G26" s="38">
        <f t="shared" si="10"/>
        <v>990.71138015872566</v>
      </c>
      <c r="H26" s="38">
        <f t="shared" si="12"/>
        <v>13057.109442151997</v>
      </c>
      <c r="I26" s="6"/>
    </row>
    <row r="27" spans="1:9" ht="16.5" customHeight="1">
      <c r="A27" s="6">
        <v>9</v>
      </c>
      <c r="B27" s="38">
        <v>1193</v>
      </c>
      <c r="C27" s="38">
        <f t="shared" si="11"/>
        <v>188.02237596698876</v>
      </c>
      <c r="D27" s="38">
        <v>1900</v>
      </c>
      <c r="E27" s="38">
        <f t="shared" si="13"/>
        <v>313.20335639504833</v>
      </c>
      <c r="F27" s="38">
        <f t="shared" si="14"/>
        <v>879.79664360495167</v>
      </c>
      <c r="G27" s="38">
        <f t="shared" si="10"/>
        <v>1004.9776240330112</v>
      </c>
      <c r="H27" s="38">
        <f t="shared" si="12"/>
        <v>12052.131818118985</v>
      </c>
      <c r="I27" s="6"/>
    </row>
    <row r="28" spans="1:9" ht="16.5" customHeight="1">
      <c r="A28" s="6">
        <v>10</v>
      </c>
      <c r="B28" s="38">
        <v>1193</v>
      </c>
      <c r="C28" s="38">
        <f t="shared" si="11"/>
        <v>173.55069818091337</v>
      </c>
      <c r="D28" s="38">
        <v>1900</v>
      </c>
      <c r="E28" s="38">
        <f t="shared" si="13"/>
        <v>311.03260472713703</v>
      </c>
      <c r="F28" s="38">
        <f t="shared" si="14"/>
        <v>881.96739527286297</v>
      </c>
      <c r="G28" s="38">
        <f t="shared" si="10"/>
        <v>1019.4493018190866</v>
      </c>
      <c r="H28" s="38">
        <f t="shared" si="12"/>
        <v>11032.682516299899</v>
      </c>
      <c r="I28" s="6"/>
    </row>
    <row r="29" spans="1:9" ht="16.5" customHeight="1">
      <c r="A29" s="6">
        <v>11</v>
      </c>
      <c r="B29" s="38">
        <v>1193</v>
      </c>
      <c r="C29" s="38">
        <f t="shared" si="11"/>
        <v>158.87062823471854</v>
      </c>
      <c r="D29" s="38">
        <v>1900</v>
      </c>
      <c r="E29" s="38">
        <f t="shared" si="13"/>
        <v>308.83059423520774</v>
      </c>
      <c r="F29" s="38">
        <f t="shared" si="14"/>
        <v>884.16940576479226</v>
      </c>
      <c r="G29" s="38">
        <f t="shared" si="10"/>
        <v>1034.1293717652816</v>
      </c>
      <c r="H29" s="38">
        <f t="shared" si="12"/>
        <v>9998.5531445346169</v>
      </c>
      <c r="I29" s="6"/>
    </row>
    <row r="30" spans="1:9" ht="16.5" customHeight="1">
      <c r="A30" s="6">
        <v>12</v>
      </c>
      <c r="B30" s="38">
        <v>1193</v>
      </c>
      <c r="C30" s="38">
        <f t="shared" si="11"/>
        <v>143.97916528129849</v>
      </c>
      <c r="D30" s="38">
        <v>1900</v>
      </c>
      <c r="E30" s="38">
        <f t="shared" si="13"/>
        <v>306.59687479219474</v>
      </c>
      <c r="F30" s="38">
        <f t="shared" si="14"/>
        <v>886.40312520780526</v>
      </c>
      <c r="G30" s="38">
        <f t="shared" si="10"/>
        <v>1049.0208347187015</v>
      </c>
      <c r="H30" s="38">
        <f t="shared" si="12"/>
        <v>8949.5323098159151</v>
      </c>
      <c r="I30" s="6"/>
    </row>
    <row r="31" spans="1:9" ht="16.5" customHeight="1">
      <c r="A31" s="6">
        <v>13</v>
      </c>
      <c r="B31" s="38">
        <v>1193</v>
      </c>
      <c r="C31" s="38">
        <f t="shared" si="11"/>
        <v>128.87326526134916</v>
      </c>
      <c r="D31" s="38">
        <v>1900</v>
      </c>
      <c r="E31" s="38">
        <f t="shared" si="13"/>
        <v>304.33098978920236</v>
      </c>
      <c r="F31" s="38">
        <f t="shared" si="14"/>
        <v>888.66901021079764</v>
      </c>
      <c r="G31" s="38">
        <f t="shared" si="10"/>
        <v>1064.1267347386508</v>
      </c>
      <c r="H31" s="38">
        <f t="shared" si="12"/>
        <v>7885.4055750772641</v>
      </c>
      <c r="I31" s="6"/>
    </row>
    <row r="32" spans="1:9" ht="16.5" customHeight="1">
      <c r="A32" s="6">
        <v>14</v>
      </c>
      <c r="B32" s="38">
        <v>1193</v>
      </c>
      <c r="C32" s="38">
        <f t="shared" si="11"/>
        <v>113.54984028111259</v>
      </c>
      <c r="D32" s="38">
        <v>1900</v>
      </c>
      <c r="E32" s="38">
        <f t="shared" si="13"/>
        <v>302.03247604216688</v>
      </c>
      <c r="F32" s="38">
        <f t="shared" si="14"/>
        <v>890.96752395783312</v>
      </c>
      <c r="G32" s="38">
        <f t="shared" si="10"/>
        <v>1079.4501597188873</v>
      </c>
      <c r="H32" s="38">
        <f t="shared" si="12"/>
        <v>6805.9554153583767</v>
      </c>
      <c r="I32" s="6"/>
    </row>
    <row r="33" spans="1:9" ht="16.5" customHeight="1">
      <c r="A33" s="6">
        <v>15</v>
      </c>
      <c r="B33" s="38">
        <v>1193</v>
      </c>
      <c r="C33" s="38">
        <f t="shared" si="11"/>
        <v>98.005757981160627</v>
      </c>
      <c r="D33" s="38">
        <v>1900</v>
      </c>
      <c r="E33" s="38">
        <f t="shared" si="13"/>
        <v>299.70086369717404</v>
      </c>
      <c r="F33" s="38">
        <f t="shared" si="14"/>
        <v>893.2991363028259</v>
      </c>
      <c r="G33" s="38">
        <f t="shared" si="10"/>
        <v>1094.9942420188395</v>
      </c>
      <c r="H33" s="38">
        <f t="shared" si="12"/>
        <v>5710.9611733395377</v>
      </c>
      <c r="I33" s="6"/>
    </row>
    <row r="34" spans="1:9" ht="16.5" customHeight="1">
      <c r="A34" s="6">
        <v>16</v>
      </c>
      <c r="B34" s="38">
        <v>1193</v>
      </c>
      <c r="C34" s="38">
        <f t="shared" si="11"/>
        <v>82.237840896089338</v>
      </c>
      <c r="D34" s="38">
        <v>1900</v>
      </c>
      <c r="E34" s="38">
        <f t="shared" si="13"/>
        <v>297.3356761344134</v>
      </c>
      <c r="F34" s="38">
        <f t="shared" si="14"/>
        <v>895.66432386558654</v>
      </c>
      <c r="G34" s="38">
        <f t="shared" si="10"/>
        <v>1110.7621591039106</v>
      </c>
      <c r="H34" s="38">
        <f t="shared" si="12"/>
        <v>4600.1990142356271</v>
      </c>
      <c r="I34" s="6"/>
    </row>
    <row r="35" spans="1:9">
      <c r="A35" s="6">
        <v>17</v>
      </c>
      <c r="B35" s="38">
        <v>1193</v>
      </c>
      <c r="C35" s="38">
        <f t="shared" si="11"/>
        <v>66.242865804993031</v>
      </c>
      <c r="D35" s="38">
        <v>1900</v>
      </c>
      <c r="E35" s="38">
        <f t="shared" si="13"/>
        <v>294.93642987074895</v>
      </c>
      <c r="F35" s="38">
        <f t="shared" si="14"/>
        <v>898.06357012925105</v>
      </c>
      <c r="G35" s="38">
        <f t="shared" si="10"/>
        <v>1126.757134195007</v>
      </c>
      <c r="H35" s="38">
        <f t="shared" si="12"/>
        <v>3473.4418800406202</v>
      </c>
      <c r="I35" s="6"/>
    </row>
    <row r="36" spans="1:9">
      <c r="A36" s="6">
        <v>18</v>
      </c>
      <c r="B36" s="38">
        <v>1193</v>
      </c>
      <c r="C36" s="38">
        <f t="shared" si="11"/>
        <v>50.017563072584927</v>
      </c>
      <c r="D36" s="38">
        <v>1900</v>
      </c>
      <c r="E36" s="38">
        <f t="shared" si="13"/>
        <v>292.50263446088769</v>
      </c>
      <c r="F36" s="38">
        <f t="shared" si="14"/>
        <v>900.49736553911225</v>
      </c>
      <c r="G36" s="38">
        <f t="shared" si="10"/>
        <v>1142.9824369274152</v>
      </c>
      <c r="H36" s="38">
        <f t="shared" si="12"/>
        <v>2330.459443113205</v>
      </c>
      <c r="I36" s="6"/>
    </row>
    <row r="37" spans="1:9">
      <c r="A37" s="6">
        <v>19</v>
      </c>
      <c r="B37" s="38">
        <v>1193</v>
      </c>
      <c r="C37" s="38">
        <f t="shared" si="11"/>
        <v>33.558615980830155</v>
      </c>
      <c r="D37" s="38">
        <v>1900</v>
      </c>
      <c r="E37" s="38">
        <f t="shared" si="13"/>
        <v>290.0337923971245</v>
      </c>
      <c r="F37" s="38">
        <f t="shared" si="14"/>
        <v>902.96620760287556</v>
      </c>
      <c r="G37" s="38">
        <f t="shared" si="10"/>
        <v>1159.4413840191698</v>
      </c>
      <c r="H37" s="38">
        <f t="shared" si="12"/>
        <v>1171.0180590940352</v>
      </c>
      <c r="I37" s="6"/>
    </row>
    <row r="38" spans="1:9">
      <c r="A38" s="6">
        <v>20</v>
      </c>
      <c r="B38" s="38">
        <v>1193</v>
      </c>
      <c r="C38" s="38">
        <f t="shared" si="11"/>
        <v>16.862660050954105</v>
      </c>
      <c r="D38" s="38">
        <v>1900</v>
      </c>
      <c r="E38" s="38">
        <f t="shared" si="13"/>
        <v>287.52939900764312</v>
      </c>
      <c r="F38" s="38">
        <f t="shared" si="14"/>
        <v>905.47060099235682</v>
      </c>
      <c r="G38" s="38">
        <v>1171</v>
      </c>
      <c r="H38" s="38">
        <f t="shared" si="12"/>
        <v>1.8059094035152157E-2</v>
      </c>
      <c r="I38" s="6"/>
    </row>
    <row r="39" spans="1:9">
      <c r="A39" s="6" t="s">
        <v>24</v>
      </c>
      <c r="B39" s="38">
        <f t="shared" ref="B39:G39" si="15">SUM(B19:B38)</f>
        <v>23860</v>
      </c>
      <c r="C39" s="38">
        <f t="shared" si="15"/>
        <v>3254.8807191449932</v>
      </c>
      <c r="D39" s="38">
        <f t="shared" si="15"/>
        <v>38000</v>
      </c>
      <c r="E39" s="38">
        <f t="shared" si="15"/>
        <v>6188.2321078717496</v>
      </c>
      <c r="F39" s="38">
        <f t="shared" si="15"/>
        <v>17671.767892128253</v>
      </c>
      <c r="G39" s="38">
        <f t="shared" si="15"/>
        <v>20599.98194090596</v>
      </c>
      <c r="H39" s="38"/>
      <c r="I39" s="6"/>
    </row>
    <row r="40" spans="1:9">
      <c r="A40" s="34" t="s">
        <v>51</v>
      </c>
      <c r="B40" s="6"/>
      <c r="C40" s="8">
        <f>(B65-B2)/B2</f>
        <v>0.1941747572815534</v>
      </c>
      <c r="D40" s="6"/>
      <c r="E40" s="6"/>
      <c r="F40" s="6"/>
      <c r="G40" s="6"/>
      <c r="H40" s="6"/>
      <c r="I40" s="6"/>
    </row>
    <row r="41" spans="1:9">
      <c r="A41" s="6">
        <v>1</v>
      </c>
      <c r="B41" s="38">
        <v>1025</v>
      </c>
      <c r="C41" s="6">
        <f>B2*F2/4</f>
        <v>303.84999999999997</v>
      </c>
      <c r="D41" s="38">
        <v>1900</v>
      </c>
      <c r="E41" s="38">
        <f t="shared" ref="E41:E64" si="16">(D41+C41)*0.15</f>
        <v>330.57749999999999</v>
      </c>
      <c r="F41" s="38">
        <f t="shared" ref="F41:F64" si="17">B41-E41</f>
        <v>694.42250000000001</v>
      </c>
      <c r="G41" s="38">
        <f t="shared" ref="G41:G63" si="18">B41-C41</f>
        <v>721.15000000000009</v>
      </c>
      <c r="H41" s="38">
        <f>$B$2-G41</f>
        <v>19878.849999999999</v>
      </c>
      <c r="I41" s="6">
        <f t="shared" ref="I41:I46" si="19">1/POWER(1.059,A41)</f>
        <v>0.94428706326723333</v>
      </c>
    </row>
    <row r="42" spans="1:9">
      <c r="A42" s="6">
        <v>2</v>
      </c>
      <c r="B42" s="38">
        <v>1025</v>
      </c>
      <c r="C42" s="38">
        <f>H41*$F$2/4</f>
        <v>293.21303749999998</v>
      </c>
      <c r="D42" s="38">
        <v>1900</v>
      </c>
      <c r="E42" s="38">
        <f t="shared" si="16"/>
        <v>328.98195562500001</v>
      </c>
      <c r="F42" s="38">
        <f t="shared" si="17"/>
        <v>696.01804437500004</v>
      </c>
      <c r="G42" s="38">
        <f t="shared" si="18"/>
        <v>731.78696250000007</v>
      </c>
      <c r="H42" s="38">
        <f>H41-G42</f>
        <v>19147.0630375</v>
      </c>
      <c r="I42" s="6">
        <f t="shared" si="19"/>
        <v>0.89167805785385579</v>
      </c>
    </row>
    <row r="43" spans="1:9">
      <c r="A43" s="6">
        <v>3</v>
      </c>
      <c r="B43" s="38">
        <v>1025</v>
      </c>
      <c r="C43" s="38">
        <f t="shared" ref="C43:C64" si="20">H42*$F$2/4</f>
        <v>282.41917980312496</v>
      </c>
      <c r="D43" s="38">
        <v>1900</v>
      </c>
      <c r="E43" s="38">
        <f t="shared" si="16"/>
        <v>327.36287697046879</v>
      </c>
      <c r="F43" s="38">
        <f t="shared" si="17"/>
        <v>697.63712302953127</v>
      </c>
      <c r="G43" s="38">
        <f t="shared" si="18"/>
        <v>742.58082019687504</v>
      </c>
      <c r="H43" s="38">
        <f t="shared" ref="H43:H64" si="21">H42-G43</f>
        <v>18404.482217303124</v>
      </c>
      <c r="I43" s="6">
        <f t="shared" si="19"/>
        <v>0.84200005463064764</v>
      </c>
    </row>
    <row r="44" spans="1:9">
      <c r="A44" s="6">
        <v>4</v>
      </c>
      <c r="B44" s="38">
        <v>1025</v>
      </c>
      <c r="C44" s="38">
        <f t="shared" si="20"/>
        <v>271.46611270522106</v>
      </c>
      <c r="D44" s="38">
        <v>1900</v>
      </c>
      <c r="E44" s="38">
        <f t="shared" si="16"/>
        <v>325.71991690578312</v>
      </c>
      <c r="F44" s="38">
        <f t="shared" si="17"/>
        <v>699.28008309421693</v>
      </c>
      <c r="G44" s="38">
        <f t="shared" si="18"/>
        <v>753.53388729477888</v>
      </c>
      <c r="H44" s="38">
        <f t="shared" si="21"/>
        <v>17650.948330008345</v>
      </c>
      <c r="I44" s="6">
        <f t="shared" si="19"/>
        <v>0.79508975885802413</v>
      </c>
    </row>
    <row r="45" spans="1:9">
      <c r="A45" s="6">
        <v>5</v>
      </c>
      <c r="B45" s="38">
        <v>1025</v>
      </c>
      <c r="C45" s="38">
        <f t="shared" si="20"/>
        <v>260.35148786762306</v>
      </c>
      <c r="D45" s="38">
        <v>1900</v>
      </c>
      <c r="E45" s="38">
        <f t="shared" si="16"/>
        <v>324.05272318014346</v>
      </c>
      <c r="F45" s="38">
        <f t="shared" si="17"/>
        <v>700.9472768198566</v>
      </c>
      <c r="G45" s="38">
        <f t="shared" si="18"/>
        <v>764.64851213237694</v>
      </c>
      <c r="H45" s="38">
        <f t="shared" si="21"/>
        <v>16886.299817875966</v>
      </c>
      <c r="I45" s="6">
        <f t="shared" si="19"/>
        <v>0.75079297342589635</v>
      </c>
    </row>
    <row r="46" spans="1:9">
      <c r="A46" s="6">
        <v>6</v>
      </c>
      <c r="B46" s="38">
        <v>1025</v>
      </c>
      <c r="C46" s="38">
        <f t="shared" si="20"/>
        <v>249.07292231367049</v>
      </c>
      <c r="D46" s="38">
        <v>1900</v>
      </c>
      <c r="E46" s="38">
        <f t="shared" si="16"/>
        <v>322.36093834705053</v>
      </c>
      <c r="F46" s="38">
        <f t="shared" si="17"/>
        <v>702.63906165294952</v>
      </c>
      <c r="G46" s="38">
        <f t="shared" si="18"/>
        <v>775.92707768632954</v>
      </c>
      <c r="H46" s="38">
        <f t="shared" si="21"/>
        <v>16110.372740189636</v>
      </c>
      <c r="I46" s="6">
        <f t="shared" si="19"/>
        <v>0.70896409199801358</v>
      </c>
    </row>
    <row r="47" spans="1:9">
      <c r="A47" s="6">
        <v>7</v>
      </c>
      <c r="B47" s="38">
        <v>1025</v>
      </c>
      <c r="C47" s="38">
        <f t="shared" si="20"/>
        <v>237.6279979177971</v>
      </c>
      <c r="D47" s="38">
        <v>1900</v>
      </c>
      <c r="E47" s="38">
        <f t="shared" si="16"/>
        <v>320.64419968766953</v>
      </c>
      <c r="F47" s="38">
        <f t="shared" si="17"/>
        <v>704.35580031233053</v>
      </c>
      <c r="G47" s="38">
        <f t="shared" si="18"/>
        <v>787.37200208220293</v>
      </c>
      <c r="H47" s="38">
        <f t="shared" si="21"/>
        <v>15323.000738107432</v>
      </c>
      <c r="I47" s="6"/>
    </row>
    <row r="48" spans="1:9">
      <c r="A48" s="6">
        <v>8</v>
      </c>
      <c r="B48" s="38">
        <v>1025</v>
      </c>
      <c r="C48" s="38">
        <f t="shared" si="20"/>
        <v>226.01426088708462</v>
      </c>
      <c r="D48" s="38">
        <v>1900</v>
      </c>
      <c r="E48" s="38">
        <f t="shared" si="16"/>
        <v>318.90213913306269</v>
      </c>
      <c r="F48" s="38">
        <f t="shared" si="17"/>
        <v>706.09786086693725</v>
      </c>
      <c r="G48" s="38">
        <f t="shared" si="18"/>
        <v>798.98573911291533</v>
      </c>
      <c r="H48" s="38">
        <f t="shared" si="21"/>
        <v>14524.014998994517</v>
      </c>
      <c r="I48" s="6"/>
    </row>
    <row r="49" spans="1:8" ht="20.25" customHeight="1">
      <c r="A49" s="6">
        <v>9</v>
      </c>
      <c r="B49" s="38">
        <v>1025</v>
      </c>
      <c r="C49" s="38">
        <f t="shared" si="20"/>
        <v>214.22922123516912</v>
      </c>
      <c r="D49" s="38">
        <v>1900</v>
      </c>
      <c r="E49" s="38">
        <f t="shared" si="16"/>
        <v>317.13438318527534</v>
      </c>
      <c r="F49" s="38">
        <f t="shared" si="17"/>
        <v>707.86561681472472</v>
      </c>
      <c r="G49" s="38">
        <f t="shared" si="18"/>
        <v>810.77077876483088</v>
      </c>
      <c r="H49" s="38">
        <f t="shared" si="21"/>
        <v>13713.244220229686</v>
      </c>
    </row>
    <row r="50" spans="1:8">
      <c r="A50" s="6">
        <v>10</v>
      </c>
      <c r="B50" s="38">
        <v>1025</v>
      </c>
      <c r="C50" s="38">
        <f t="shared" si="20"/>
        <v>202.27035224838787</v>
      </c>
      <c r="D50" s="38">
        <v>1900</v>
      </c>
      <c r="E50" s="38">
        <f t="shared" si="16"/>
        <v>315.3405528372582</v>
      </c>
      <c r="F50" s="38">
        <f t="shared" si="17"/>
        <v>709.6594471627418</v>
      </c>
      <c r="G50" s="38">
        <f t="shared" si="18"/>
        <v>822.72964775161211</v>
      </c>
      <c r="H50" s="38">
        <f t="shared" si="21"/>
        <v>12890.514572478074</v>
      </c>
    </row>
    <row r="51" spans="1:8">
      <c r="A51" s="6">
        <v>11</v>
      </c>
      <c r="B51" s="38">
        <v>1025</v>
      </c>
      <c r="C51" s="38">
        <f t="shared" si="20"/>
        <v>190.13508994405157</v>
      </c>
      <c r="D51" s="38">
        <v>1900</v>
      </c>
      <c r="E51" s="38">
        <f t="shared" si="16"/>
        <v>313.52026349160775</v>
      </c>
      <c r="F51" s="38">
        <f t="shared" si="17"/>
        <v>711.47973650839231</v>
      </c>
      <c r="G51" s="38">
        <f t="shared" si="18"/>
        <v>834.86491005594849</v>
      </c>
      <c r="H51" s="38">
        <f t="shared" si="21"/>
        <v>12055.649662422125</v>
      </c>
    </row>
    <row r="52" spans="1:8">
      <c r="A52" s="6">
        <v>12</v>
      </c>
      <c r="B52" s="38">
        <v>1025</v>
      </c>
      <c r="C52" s="38">
        <f t="shared" si="20"/>
        <v>177.82083252072633</v>
      </c>
      <c r="D52" s="38">
        <v>1900</v>
      </c>
      <c r="E52" s="38">
        <f t="shared" si="16"/>
        <v>311.67312487810898</v>
      </c>
      <c r="F52" s="38">
        <f t="shared" si="17"/>
        <v>713.32687512189102</v>
      </c>
      <c r="G52" s="38">
        <f t="shared" si="18"/>
        <v>847.1791674792737</v>
      </c>
      <c r="H52" s="38">
        <f t="shared" si="21"/>
        <v>11208.470494942852</v>
      </c>
    </row>
    <row r="53" spans="1:8">
      <c r="A53" s="6">
        <v>13</v>
      </c>
      <c r="B53" s="38">
        <v>1025</v>
      </c>
      <c r="C53" s="38">
        <f t="shared" si="20"/>
        <v>165.32493980040707</v>
      </c>
      <c r="D53" s="38">
        <v>1900</v>
      </c>
      <c r="E53" s="38">
        <f t="shared" si="16"/>
        <v>309.79874097006109</v>
      </c>
      <c r="F53" s="38">
        <f t="shared" si="17"/>
        <v>715.20125902993891</v>
      </c>
      <c r="G53" s="38">
        <f t="shared" si="18"/>
        <v>859.67506019959296</v>
      </c>
      <c r="H53" s="38">
        <f t="shared" si="21"/>
        <v>10348.795434743259</v>
      </c>
    </row>
    <row r="54" spans="1:8">
      <c r="A54" s="6">
        <v>14</v>
      </c>
      <c r="B54" s="38">
        <v>1025</v>
      </c>
      <c r="C54" s="38">
        <f t="shared" si="20"/>
        <v>152.64473266246307</v>
      </c>
      <c r="D54" s="38">
        <v>1900</v>
      </c>
      <c r="E54" s="38">
        <f t="shared" si="16"/>
        <v>307.89670989936945</v>
      </c>
      <c r="F54" s="38">
        <f t="shared" si="17"/>
        <v>717.1032901006306</v>
      </c>
      <c r="G54" s="38">
        <f t="shared" si="18"/>
        <v>872.35526733753693</v>
      </c>
      <c r="H54" s="38">
        <f t="shared" si="21"/>
        <v>9476.4401674057226</v>
      </c>
    </row>
    <row r="55" spans="1:8">
      <c r="A55" s="6">
        <v>15</v>
      </c>
      <c r="B55" s="38">
        <v>1025</v>
      </c>
      <c r="C55" s="38">
        <f t="shared" si="20"/>
        <v>139.7774924692344</v>
      </c>
      <c r="D55" s="38">
        <v>1900</v>
      </c>
      <c r="E55" s="38">
        <f t="shared" si="16"/>
        <v>305.96662387038515</v>
      </c>
      <c r="F55" s="38">
        <f t="shared" si="17"/>
        <v>719.03337612961491</v>
      </c>
      <c r="G55" s="38">
        <f t="shared" si="18"/>
        <v>885.2225075307656</v>
      </c>
      <c r="H55" s="38">
        <f t="shared" si="21"/>
        <v>8591.2176598749575</v>
      </c>
    </row>
    <row r="56" spans="1:8">
      <c r="A56" s="6">
        <v>16</v>
      </c>
      <c r="B56" s="38">
        <v>1025</v>
      </c>
      <c r="C56" s="38">
        <f t="shared" si="20"/>
        <v>126.72046048315562</v>
      </c>
      <c r="D56" s="38">
        <v>1900</v>
      </c>
      <c r="E56" s="38">
        <f t="shared" si="16"/>
        <v>304.00806907247335</v>
      </c>
      <c r="F56" s="38">
        <f t="shared" si="17"/>
        <v>720.99193092752671</v>
      </c>
      <c r="G56" s="38">
        <f t="shared" si="18"/>
        <v>898.27953951684435</v>
      </c>
      <c r="H56" s="38">
        <f t="shared" si="21"/>
        <v>7692.9381203581133</v>
      </c>
    </row>
    <row r="57" spans="1:8">
      <c r="A57" s="6">
        <v>17</v>
      </c>
      <c r="B57" s="38">
        <v>1025</v>
      </c>
      <c r="C57" s="38">
        <f t="shared" si="20"/>
        <v>113.47083727528216</v>
      </c>
      <c r="D57" s="38">
        <v>1900</v>
      </c>
      <c r="E57" s="38">
        <f t="shared" si="16"/>
        <v>302.02062559129229</v>
      </c>
      <c r="F57" s="38">
        <f t="shared" si="17"/>
        <v>722.97937440870771</v>
      </c>
      <c r="G57" s="38">
        <f t="shared" si="18"/>
        <v>911.52916272471782</v>
      </c>
      <c r="H57" s="38">
        <f t="shared" si="21"/>
        <v>6781.4089576333954</v>
      </c>
    </row>
    <row r="58" spans="1:8">
      <c r="A58" s="6">
        <v>18</v>
      </c>
      <c r="B58" s="38">
        <v>1025</v>
      </c>
      <c r="C58" s="38">
        <f t="shared" si="20"/>
        <v>100.02578212509258</v>
      </c>
      <c r="D58" s="38">
        <v>1900</v>
      </c>
      <c r="E58" s="38">
        <f t="shared" si="16"/>
        <v>300.00386731876387</v>
      </c>
      <c r="F58" s="38">
        <f t="shared" si="17"/>
        <v>724.99613268123608</v>
      </c>
      <c r="G58" s="38">
        <f t="shared" si="18"/>
        <v>924.97421787490748</v>
      </c>
      <c r="H58" s="38">
        <f t="shared" si="21"/>
        <v>5856.4347397584879</v>
      </c>
    </row>
    <row r="59" spans="1:8">
      <c r="A59" s="6">
        <v>19</v>
      </c>
      <c r="B59" s="38">
        <v>1025</v>
      </c>
      <c r="C59" s="38">
        <f t="shared" si="20"/>
        <v>86.382412411437699</v>
      </c>
      <c r="D59" s="38">
        <v>1900</v>
      </c>
      <c r="E59" s="38">
        <f t="shared" si="16"/>
        <v>297.95736186171564</v>
      </c>
      <c r="F59" s="38">
        <f t="shared" si="17"/>
        <v>727.04263813828436</v>
      </c>
      <c r="G59" s="38">
        <f t="shared" si="18"/>
        <v>938.61758758856229</v>
      </c>
      <c r="H59" s="38">
        <f t="shared" si="21"/>
        <v>4917.817152169926</v>
      </c>
    </row>
    <row r="60" spans="1:8">
      <c r="A60" s="6">
        <v>20</v>
      </c>
      <c r="B60" s="38">
        <v>1025</v>
      </c>
      <c r="C60" s="38">
        <f t="shared" si="20"/>
        <v>72.537802994506407</v>
      </c>
      <c r="D60" s="38">
        <v>1900</v>
      </c>
      <c r="E60" s="38">
        <f t="shared" si="16"/>
        <v>295.88067044917597</v>
      </c>
      <c r="F60" s="38">
        <f t="shared" si="17"/>
        <v>729.11932955082398</v>
      </c>
      <c r="G60" s="38">
        <f t="shared" si="18"/>
        <v>952.46219700549364</v>
      </c>
      <c r="H60" s="38">
        <f t="shared" si="21"/>
        <v>3965.3549551644323</v>
      </c>
    </row>
    <row r="61" spans="1:8">
      <c r="A61" s="6">
        <v>21</v>
      </c>
      <c r="B61" s="38">
        <v>1025</v>
      </c>
      <c r="C61" s="38">
        <f t="shared" si="20"/>
        <v>58.488985588675376</v>
      </c>
      <c r="D61" s="38">
        <v>1900</v>
      </c>
      <c r="E61" s="38">
        <f t="shared" si="16"/>
        <v>293.77334783830128</v>
      </c>
      <c r="F61" s="38">
        <f t="shared" si="17"/>
        <v>731.22665216169867</v>
      </c>
      <c r="G61" s="38">
        <f t="shared" si="18"/>
        <v>966.5110144113246</v>
      </c>
      <c r="H61" s="38">
        <f t="shared" si="21"/>
        <v>2998.8439407531077</v>
      </c>
    </row>
    <row r="62" spans="1:8">
      <c r="A62" s="6">
        <v>22</v>
      </c>
      <c r="B62" s="38">
        <v>1025</v>
      </c>
      <c r="C62" s="38">
        <f t="shared" si="20"/>
        <v>44.23294812610834</v>
      </c>
      <c r="D62" s="38">
        <v>1900</v>
      </c>
      <c r="E62" s="38">
        <f t="shared" si="16"/>
        <v>291.63494221891625</v>
      </c>
      <c r="F62" s="38">
        <f t="shared" si="17"/>
        <v>733.36505778108381</v>
      </c>
      <c r="G62" s="38">
        <f t="shared" si="18"/>
        <v>980.76705187389166</v>
      </c>
      <c r="H62" s="38">
        <f t="shared" si="21"/>
        <v>2018.0768888792161</v>
      </c>
    </row>
    <row r="63" spans="1:8">
      <c r="A63" s="6">
        <v>23</v>
      </c>
      <c r="B63" s="38">
        <v>1025</v>
      </c>
      <c r="C63" s="38">
        <f t="shared" si="20"/>
        <v>29.766634110968436</v>
      </c>
      <c r="D63" s="38">
        <v>1900</v>
      </c>
      <c r="E63" s="38">
        <f t="shared" si="16"/>
        <v>289.46499511664524</v>
      </c>
      <c r="F63" s="38">
        <f t="shared" si="17"/>
        <v>735.53500488335476</v>
      </c>
      <c r="G63" s="38">
        <f t="shared" si="18"/>
        <v>995.23336588903157</v>
      </c>
      <c r="H63" s="38">
        <f t="shared" si="21"/>
        <v>1022.8435229901845</v>
      </c>
    </row>
    <row r="64" spans="1:8">
      <c r="A64" s="6">
        <v>24</v>
      </c>
      <c r="B64" s="38">
        <v>1025</v>
      </c>
      <c r="C64" s="38">
        <f t="shared" si="20"/>
        <v>15.08694196410522</v>
      </c>
      <c r="D64" s="38">
        <v>1900</v>
      </c>
      <c r="E64" s="38">
        <f t="shared" si="16"/>
        <v>287.26304129461573</v>
      </c>
      <c r="F64" s="38">
        <f t="shared" si="17"/>
        <v>737.73695870538427</v>
      </c>
      <c r="G64" s="38">
        <v>1023</v>
      </c>
      <c r="H64" s="38">
        <f t="shared" si="21"/>
        <v>-0.15647700981548951</v>
      </c>
    </row>
    <row r="65" spans="1:8">
      <c r="A65" s="6"/>
      <c r="B65" s="38">
        <f t="shared" ref="B65:G65" si="22">SUM(B41:B64)</f>
        <v>24600</v>
      </c>
      <c r="C65" s="38">
        <f t="shared" si="22"/>
        <v>4012.9304649542928</v>
      </c>
      <c r="D65" s="38">
        <f t="shared" si="22"/>
        <v>45600</v>
      </c>
      <c r="E65" s="38">
        <f t="shared" si="22"/>
        <v>7441.9395697431437</v>
      </c>
      <c r="F65" s="38">
        <f t="shared" si="22"/>
        <v>17158.060430256854</v>
      </c>
      <c r="G65" s="38">
        <f t="shared" si="22"/>
        <v>20600.156477009808</v>
      </c>
      <c r="H65" s="38"/>
    </row>
    <row r="67" spans="1:8" ht="21" customHeight="1">
      <c r="A67" s="1" t="s">
        <v>52</v>
      </c>
      <c r="B67" s="91" t="s">
        <v>53</v>
      </c>
      <c r="C67" s="91"/>
      <c r="D67" s="91"/>
      <c r="E67" s="91"/>
      <c r="F67" s="91"/>
      <c r="G67" s="91"/>
      <c r="H67" s="91"/>
    </row>
    <row r="68" spans="1:8">
      <c r="B68" s="1" t="s">
        <v>54</v>
      </c>
    </row>
  </sheetData>
  <mergeCells count="1">
    <mergeCell ref="B67:H67"/>
  </mergeCells>
  <phoneticPr fontId="2" type="noConversion"/>
  <pageMargins left="0.69861111111111107" right="0.69861111111111107" top="0.75" bottom="0.75" header="0.3" footer="0.3"/>
  <pageSetup paperSize="9" orientation="portrait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8"/>
  <sheetViews>
    <sheetView workbookViewId="0">
      <selection activeCell="C32" sqref="C32"/>
    </sheetView>
  </sheetViews>
  <sheetFormatPr defaultColWidth="8.875" defaultRowHeight="12"/>
  <cols>
    <col min="1" max="1" width="12.625" style="15" customWidth="1"/>
    <col min="2" max="2" width="13.375" style="15" customWidth="1"/>
    <col min="3" max="3" width="15.125" style="15" bestFit="1" customWidth="1"/>
    <col min="4" max="4" width="13" style="15" bestFit="1" customWidth="1"/>
    <col min="5" max="5" width="16.125" style="15" customWidth="1"/>
    <col min="6" max="6" width="9" style="15" bestFit="1" customWidth="1"/>
    <col min="7" max="7" width="23.25" style="15" customWidth="1"/>
    <col min="8" max="8" width="12.75" style="15" customWidth="1"/>
    <col min="9" max="9" width="13.375" style="16" customWidth="1"/>
    <col min="10" max="10" width="9" style="15" bestFit="1" customWidth="1"/>
    <col min="11" max="12" width="17.125" style="15" customWidth="1"/>
    <col min="13" max="14" width="13.75" style="15" customWidth="1"/>
    <col min="15" max="32" width="9" style="15" bestFit="1" customWidth="1"/>
    <col min="33" max="16384" width="8.875" style="15"/>
  </cols>
  <sheetData>
    <row r="2" spans="1:14" s="14" customFormat="1" ht="24">
      <c r="A2" s="17" t="s">
        <v>55</v>
      </c>
      <c r="B2" s="18" t="s">
        <v>56</v>
      </c>
      <c r="C2" s="18" t="s">
        <v>57</v>
      </c>
      <c r="D2" s="18" t="s">
        <v>14</v>
      </c>
      <c r="E2" s="19" t="s">
        <v>58</v>
      </c>
      <c r="G2" s="92" t="s">
        <v>59</v>
      </c>
      <c r="H2" s="93"/>
      <c r="I2" s="94"/>
      <c r="K2" s="19" t="s">
        <v>14</v>
      </c>
      <c r="L2" s="19" t="s">
        <v>60</v>
      </c>
      <c r="M2" s="19" t="s">
        <v>61</v>
      </c>
      <c r="N2" s="19" t="s">
        <v>62</v>
      </c>
    </row>
    <row r="3" spans="1:14">
      <c r="A3" s="20">
        <v>24</v>
      </c>
      <c r="B3" s="21" t="s">
        <v>63</v>
      </c>
      <c r="C3" s="21" t="s">
        <v>64</v>
      </c>
      <c r="D3" s="21" t="s">
        <v>65</v>
      </c>
      <c r="E3" s="22">
        <v>0</v>
      </c>
      <c r="G3" s="21" t="s">
        <v>63</v>
      </c>
      <c r="H3" s="21"/>
      <c r="I3" s="30">
        <v>0.08</v>
      </c>
      <c r="K3" s="22" t="s">
        <v>65</v>
      </c>
      <c r="L3" s="22">
        <v>12</v>
      </c>
      <c r="M3" s="22">
        <v>1</v>
      </c>
      <c r="N3" s="22">
        <v>30</v>
      </c>
    </row>
    <row r="4" spans="1:14">
      <c r="A4" s="20">
        <v>36</v>
      </c>
      <c r="B4" s="21" t="s">
        <v>66</v>
      </c>
      <c r="C4" s="21" t="s">
        <v>67</v>
      </c>
      <c r="D4" s="21" t="s">
        <v>68</v>
      </c>
      <c r="E4" s="22">
        <v>1</v>
      </c>
      <c r="G4" s="21" t="s">
        <v>69</v>
      </c>
      <c r="H4" s="23" t="s">
        <v>70</v>
      </c>
      <c r="I4" s="31">
        <v>0.06</v>
      </c>
      <c r="K4" s="22" t="s">
        <v>68</v>
      </c>
      <c r="L4" s="22">
        <v>6</v>
      </c>
      <c r="M4" s="22">
        <v>2</v>
      </c>
      <c r="N4" s="22">
        <f>M4*$N$3</f>
        <v>60</v>
      </c>
    </row>
    <row r="5" spans="1:14">
      <c r="A5" s="20">
        <v>48</v>
      </c>
      <c r="B5" s="21" t="s">
        <v>71</v>
      </c>
      <c r="C5" s="21" t="s">
        <v>72</v>
      </c>
      <c r="D5" s="21" t="s">
        <v>15</v>
      </c>
      <c r="E5" s="22"/>
      <c r="G5" s="21" t="s">
        <v>73</v>
      </c>
      <c r="H5" s="24" t="s">
        <v>74</v>
      </c>
      <c r="I5" s="31">
        <v>5.6000000000000001E-2</v>
      </c>
      <c r="K5" s="22" t="s">
        <v>15</v>
      </c>
      <c r="L5" s="22">
        <v>4</v>
      </c>
      <c r="M5" s="22">
        <v>3</v>
      </c>
      <c r="N5" s="22">
        <f>M5*$N$3</f>
        <v>90</v>
      </c>
    </row>
    <row r="6" spans="1:14">
      <c r="A6" s="20">
        <v>60</v>
      </c>
      <c r="B6" s="21"/>
      <c r="C6" s="21"/>
      <c r="D6" s="21" t="s">
        <v>75</v>
      </c>
      <c r="E6" s="22"/>
      <c r="G6" s="21" t="s">
        <v>76</v>
      </c>
      <c r="H6" s="23" t="s">
        <v>77</v>
      </c>
      <c r="I6" s="31">
        <v>6.1499999999999999E-2</v>
      </c>
      <c r="K6" s="22" t="s">
        <v>75</v>
      </c>
      <c r="L6" s="22">
        <v>2</v>
      </c>
      <c r="M6" s="22">
        <v>6</v>
      </c>
      <c r="N6" s="22">
        <f>M6*$N$3</f>
        <v>180</v>
      </c>
    </row>
    <row r="7" spans="1:14">
      <c r="A7" s="20">
        <v>72</v>
      </c>
      <c r="B7" s="21"/>
      <c r="C7" s="21"/>
      <c r="D7" s="21" t="s">
        <v>78</v>
      </c>
      <c r="E7" s="22"/>
      <c r="G7" s="21" t="s">
        <v>79</v>
      </c>
      <c r="H7" s="23" t="s">
        <v>80</v>
      </c>
      <c r="I7" s="31">
        <v>6.4000000000000001E-2</v>
      </c>
      <c r="K7" s="22" t="s">
        <v>78</v>
      </c>
      <c r="L7" s="22">
        <v>1</v>
      </c>
      <c r="M7" s="22">
        <v>12</v>
      </c>
      <c r="N7" s="22">
        <f>M7*$N$3</f>
        <v>360</v>
      </c>
    </row>
    <row r="8" spans="1:14">
      <c r="A8" s="20"/>
      <c r="B8" s="21"/>
      <c r="C8" s="21"/>
      <c r="D8" s="21"/>
      <c r="E8" s="22"/>
      <c r="G8" s="21" t="s">
        <v>81</v>
      </c>
      <c r="H8" s="23" t="s">
        <v>81</v>
      </c>
      <c r="I8" s="31">
        <v>6.5500000000000003E-2</v>
      </c>
      <c r="K8" s="22"/>
      <c r="L8" s="22"/>
      <c r="M8" s="22"/>
      <c r="N8" s="22"/>
    </row>
    <row r="9" spans="1:14">
      <c r="A9" s="20"/>
      <c r="B9" s="21"/>
      <c r="C9" s="21"/>
      <c r="D9" s="21"/>
      <c r="E9" s="22"/>
      <c r="G9" s="21"/>
      <c r="H9" s="21"/>
      <c r="I9" s="31"/>
      <c r="K9" s="22"/>
      <c r="L9" s="22"/>
      <c r="M9" s="22"/>
      <c r="N9" s="22"/>
    </row>
    <row r="10" spans="1:14">
      <c r="A10" s="20"/>
      <c r="B10" s="21"/>
      <c r="C10" s="21"/>
      <c r="D10" s="21"/>
      <c r="E10" s="22"/>
      <c r="G10" s="21"/>
      <c r="H10" s="21"/>
      <c r="I10" s="31"/>
      <c r="K10" s="22"/>
      <c r="L10" s="22"/>
      <c r="M10" s="22"/>
      <c r="N10" s="22"/>
    </row>
    <row r="11" spans="1:14">
      <c r="A11" s="20"/>
      <c r="B11" s="21"/>
      <c r="C11" s="21"/>
      <c r="D11" s="21"/>
      <c r="E11" s="22"/>
      <c r="G11" s="21"/>
      <c r="H11" s="21"/>
      <c r="I11" s="31"/>
      <c r="K11" s="22"/>
      <c r="L11" s="22"/>
      <c r="M11" s="22"/>
      <c r="N11" s="22"/>
    </row>
    <row r="12" spans="1:14">
      <c r="A12" s="20"/>
      <c r="B12" s="21"/>
      <c r="C12" s="21"/>
      <c r="D12" s="21"/>
      <c r="E12" s="22"/>
      <c r="G12" s="21"/>
      <c r="H12" s="21"/>
      <c r="I12" s="31"/>
      <c r="K12" s="22"/>
      <c r="L12" s="22"/>
      <c r="M12" s="22"/>
      <c r="N12" s="22"/>
    </row>
    <row r="13" spans="1:14">
      <c r="A13" s="20"/>
      <c r="B13" s="21"/>
      <c r="C13" s="21"/>
      <c r="D13" s="21"/>
      <c r="E13" s="22"/>
      <c r="G13" s="21"/>
      <c r="H13" s="21"/>
      <c r="I13" s="31"/>
      <c r="K13" s="22"/>
      <c r="L13" s="22"/>
      <c r="M13" s="22"/>
      <c r="N13" s="22"/>
    </row>
    <row r="14" spans="1:14">
      <c r="A14" s="20"/>
      <c r="B14" s="21"/>
      <c r="C14" s="21"/>
      <c r="D14" s="21"/>
      <c r="E14" s="22"/>
      <c r="G14" s="21"/>
      <c r="H14" s="21"/>
      <c r="I14" s="31"/>
      <c r="K14" s="22"/>
      <c r="L14" s="22"/>
      <c r="M14" s="22"/>
      <c r="N14" s="22"/>
    </row>
    <row r="15" spans="1:14">
      <c r="A15" s="20"/>
      <c r="B15" s="21"/>
      <c r="C15" s="21"/>
      <c r="D15" s="21"/>
      <c r="E15" s="22"/>
      <c r="G15" s="21"/>
      <c r="H15" s="21"/>
      <c r="I15" s="31"/>
      <c r="K15" s="22"/>
      <c r="L15" s="22"/>
      <c r="M15" s="22"/>
      <c r="N15" s="22"/>
    </row>
    <row r="16" spans="1:14">
      <c r="A16" s="20"/>
      <c r="B16" s="21"/>
      <c r="C16" s="21"/>
      <c r="D16" s="21"/>
      <c r="E16" s="22"/>
      <c r="G16" s="21"/>
      <c r="H16" s="21"/>
      <c r="I16" s="31"/>
      <c r="K16" s="22"/>
      <c r="L16" s="22"/>
      <c r="M16" s="22"/>
      <c r="N16" s="22"/>
    </row>
    <row r="17" spans="1:14">
      <c r="A17" s="20"/>
      <c r="B17" s="21"/>
      <c r="C17" s="21"/>
      <c r="D17" s="21"/>
      <c r="E17" s="22"/>
      <c r="G17" s="21"/>
      <c r="H17" s="21"/>
      <c r="I17" s="31"/>
      <c r="K17" s="22"/>
      <c r="L17" s="22"/>
      <c r="M17" s="22"/>
      <c r="N17" s="22"/>
    </row>
    <row r="18" spans="1:14">
      <c r="A18" s="20"/>
      <c r="B18" s="21"/>
      <c r="C18" s="21"/>
      <c r="D18" s="21"/>
      <c r="E18" s="22"/>
      <c r="G18" s="21"/>
      <c r="H18" s="21"/>
      <c r="I18" s="31"/>
      <c r="K18" s="22"/>
      <c r="L18" s="22"/>
      <c r="M18" s="22"/>
      <c r="N18" s="22"/>
    </row>
    <row r="19" spans="1:14">
      <c r="A19" s="20"/>
      <c r="B19" s="21"/>
      <c r="C19" s="21"/>
      <c r="D19" s="21"/>
      <c r="E19" s="22"/>
      <c r="G19" s="21"/>
      <c r="H19" s="21"/>
      <c r="I19" s="31"/>
      <c r="K19" s="22"/>
      <c r="L19" s="22"/>
      <c r="M19" s="22"/>
      <c r="N19" s="22"/>
    </row>
    <row r="20" spans="1:14">
      <c r="A20" s="25"/>
      <c r="B20" s="26"/>
      <c r="C20" s="26"/>
      <c r="D20" s="26"/>
      <c r="E20" s="27"/>
      <c r="G20" s="26"/>
      <c r="H20" s="26"/>
      <c r="I20" s="32"/>
      <c r="K20" s="27"/>
      <c r="L20" s="27"/>
      <c r="M20" s="27"/>
      <c r="N20" s="27"/>
    </row>
    <row r="23" spans="1:14" ht="15">
      <c r="G23" s="28" t="s">
        <v>82</v>
      </c>
      <c r="H23" s="28"/>
      <c r="I23" s="28" t="s">
        <v>83</v>
      </c>
    </row>
    <row r="24" spans="1:14">
      <c r="G24" s="29" t="s">
        <v>84</v>
      </c>
      <c r="H24" s="29"/>
      <c r="I24" s="29">
        <v>5.6</v>
      </c>
    </row>
    <row r="25" spans="1:14">
      <c r="G25" s="29" t="s">
        <v>85</v>
      </c>
      <c r="H25" s="29"/>
      <c r="I25" s="29">
        <v>6</v>
      </c>
    </row>
    <row r="26" spans="1:14">
      <c r="G26" s="29" t="s">
        <v>86</v>
      </c>
      <c r="H26" s="29"/>
      <c r="I26" s="29">
        <v>6.15</v>
      </c>
    </row>
    <row r="27" spans="1:14">
      <c r="G27" s="29" t="s">
        <v>87</v>
      </c>
      <c r="H27" s="29"/>
      <c r="I27" s="29">
        <v>6.4</v>
      </c>
    </row>
    <row r="28" spans="1:14">
      <c r="G28" s="29" t="s">
        <v>88</v>
      </c>
      <c r="H28" s="29"/>
      <c r="I28" s="29">
        <v>6.55</v>
      </c>
    </row>
  </sheetData>
  <mergeCells count="1">
    <mergeCell ref="G2:I2"/>
  </mergeCells>
  <phoneticPr fontId="2" type="noConversion"/>
  <pageMargins left="0.69861111111111107" right="0.69861111111111107" top="0.75" bottom="0.75" header="0.3" footer="0.3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I26"/>
  <sheetViews>
    <sheetView workbookViewId="0">
      <selection activeCell="A23" sqref="A23:H23"/>
    </sheetView>
  </sheetViews>
  <sheetFormatPr defaultColWidth="8.875" defaultRowHeight="13.5"/>
  <cols>
    <col min="1" max="1" width="18.5" style="1" customWidth="1"/>
    <col min="2" max="2" width="7.5" style="1" customWidth="1"/>
    <col min="3" max="3" width="12.5" style="2" customWidth="1"/>
    <col min="4" max="4" width="10.625" style="1" customWidth="1"/>
    <col min="5" max="5" width="11.375" style="1" customWidth="1"/>
    <col min="6" max="6" width="11.875" style="1" customWidth="1"/>
    <col min="7" max="7" width="9.5" style="1" customWidth="1"/>
    <col min="8" max="8" width="11.5" style="1" customWidth="1"/>
    <col min="9" max="32" width="9" style="1" bestFit="1" customWidth="1"/>
    <col min="33" max="16384" width="8.875" style="1"/>
  </cols>
  <sheetData>
    <row r="1" spans="1:9" ht="18.75">
      <c r="A1" s="95" t="s">
        <v>89</v>
      </c>
      <c r="B1" s="95"/>
      <c r="C1" s="95"/>
      <c r="D1" s="95"/>
      <c r="E1" s="95"/>
      <c r="F1" s="95"/>
      <c r="G1" s="95"/>
      <c r="H1" s="95"/>
    </row>
    <row r="4" spans="1:9" ht="14.25" customHeight="1">
      <c r="A4" s="3" t="s">
        <v>90</v>
      </c>
      <c r="B4" s="3" t="s">
        <v>91</v>
      </c>
      <c r="C4" s="4" t="s">
        <v>92</v>
      </c>
      <c r="D4" s="5">
        <v>0.02</v>
      </c>
      <c r="E4" s="6"/>
      <c r="F4" s="6" t="s">
        <v>92</v>
      </c>
      <c r="G4" s="5">
        <v>0.03</v>
      </c>
      <c r="H4" s="6"/>
    </row>
    <row r="5" spans="1:9">
      <c r="A5" s="6"/>
      <c r="B5" s="6" t="s">
        <v>93</v>
      </c>
      <c r="C5" s="4" t="s">
        <v>94</v>
      </c>
      <c r="D5" s="7" t="s">
        <v>95</v>
      </c>
      <c r="E5" s="6" t="s">
        <v>96</v>
      </c>
      <c r="F5" s="4" t="s">
        <v>94</v>
      </c>
      <c r="G5" s="7" t="s">
        <v>95</v>
      </c>
      <c r="H5" s="6" t="s">
        <v>96</v>
      </c>
    </row>
    <row r="6" spans="1:9">
      <c r="A6" s="6" t="s">
        <v>97</v>
      </c>
      <c r="B6" s="6">
        <f>-20000+520+600</f>
        <v>-18880</v>
      </c>
      <c r="C6" s="4">
        <v>1</v>
      </c>
      <c r="D6" s="6">
        <f>B6*C6</f>
        <v>-18880</v>
      </c>
      <c r="E6" s="6">
        <f>SUM(D6)</f>
        <v>-18880</v>
      </c>
      <c r="F6" s="6">
        <v>1</v>
      </c>
      <c r="G6" s="6">
        <f>B6*F6</f>
        <v>-18880</v>
      </c>
      <c r="H6" s="6">
        <f>G6</f>
        <v>-18880</v>
      </c>
    </row>
    <row r="7" spans="1:9">
      <c r="A7" s="6" t="s">
        <v>98</v>
      </c>
      <c r="B7" s="6">
        <v>1820</v>
      </c>
      <c r="C7" s="4">
        <v>10.5753</v>
      </c>
      <c r="D7" s="6">
        <f>B7*C7</f>
        <v>19247.046000000002</v>
      </c>
      <c r="E7" s="6">
        <f>E6+D7</f>
        <v>367.0460000000021</v>
      </c>
      <c r="F7" s="6">
        <v>9.9540000000000006</v>
      </c>
      <c r="G7" s="6">
        <f>B7*F7</f>
        <v>18116.280000000002</v>
      </c>
      <c r="H7" s="6">
        <f>H6+G7</f>
        <v>-763.71999999999753</v>
      </c>
    </row>
    <row r="8" spans="1:9">
      <c r="A8" s="6" t="s">
        <v>99</v>
      </c>
      <c r="B8" s="6"/>
      <c r="C8" s="8">
        <f>D4+(G4-D4)*E7/ABS(H7-E7)</f>
        <v>2.3245994308283079E-2</v>
      </c>
      <c r="D8" s="9"/>
      <c r="E8" s="6"/>
      <c r="F8" s="6"/>
      <c r="G8" s="6"/>
      <c r="H8" s="6"/>
    </row>
    <row r="9" spans="1:9">
      <c r="A9" s="6" t="s">
        <v>100</v>
      </c>
      <c r="B9" s="6"/>
      <c r="C9" s="8">
        <f>C8*4</f>
        <v>9.2983977233132314E-2</v>
      </c>
      <c r="D9" s="8"/>
      <c r="E9" s="6"/>
      <c r="F9" s="6"/>
      <c r="G9" s="6"/>
      <c r="H9" s="6"/>
      <c r="I9" s="13"/>
    </row>
    <row r="10" spans="1:9">
      <c r="A10" s="3" t="s">
        <v>101</v>
      </c>
      <c r="B10" s="3" t="s">
        <v>102</v>
      </c>
      <c r="C10" s="4" t="s">
        <v>92</v>
      </c>
      <c r="D10" s="5">
        <v>0.02</v>
      </c>
      <c r="E10" s="6"/>
      <c r="F10" s="6" t="s">
        <v>92</v>
      </c>
      <c r="G10" s="5">
        <v>0.03</v>
      </c>
      <c r="H10" s="6"/>
    </row>
    <row r="11" spans="1:9">
      <c r="A11" s="6"/>
      <c r="B11" s="6" t="s">
        <v>93</v>
      </c>
      <c r="C11" s="4" t="s">
        <v>94</v>
      </c>
      <c r="D11" s="7" t="s">
        <v>95</v>
      </c>
      <c r="E11" s="6" t="s">
        <v>96</v>
      </c>
      <c r="F11" s="4" t="s">
        <v>94</v>
      </c>
      <c r="G11" s="7" t="s">
        <v>95</v>
      </c>
      <c r="H11" s="6" t="s">
        <v>96</v>
      </c>
    </row>
    <row r="12" spans="1:9">
      <c r="A12" s="6" t="s">
        <v>97</v>
      </c>
      <c r="B12" s="6">
        <f>-20000+1000+600</f>
        <v>-18400</v>
      </c>
      <c r="C12" s="4">
        <v>1</v>
      </c>
      <c r="D12" s="6">
        <f>B12*C12</f>
        <v>-18400</v>
      </c>
      <c r="E12" s="6">
        <f>SUM(D12)</f>
        <v>-18400</v>
      </c>
      <c r="F12" s="10">
        <v>1</v>
      </c>
      <c r="G12" s="6">
        <f>B12*F12</f>
        <v>-18400</v>
      </c>
      <c r="H12" s="6">
        <f>G12</f>
        <v>-18400</v>
      </c>
    </row>
    <row r="13" spans="1:9">
      <c r="A13" s="6" t="s">
        <v>98</v>
      </c>
      <c r="B13" s="6">
        <v>1158</v>
      </c>
      <c r="C13" s="11">
        <v>16.351400000000002</v>
      </c>
      <c r="D13" s="6">
        <f>B13*C13</f>
        <v>18934.921200000001</v>
      </c>
      <c r="E13" s="6">
        <f>E12+D13</f>
        <v>534.92120000000068</v>
      </c>
      <c r="F13" s="11">
        <v>14.8775</v>
      </c>
      <c r="G13" s="6">
        <f>B13*F13</f>
        <v>17228.145</v>
      </c>
      <c r="H13" s="6">
        <f>H12+G13</f>
        <v>-1171.8549999999996</v>
      </c>
    </row>
    <row r="14" spans="1:9">
      <c r="A14" s="6" t="s">
        <v>99</v>
      </c>
      <c r="B14" s="6"/>
      <c r="C14" s="8">
        <f>D10+(G10-D10)*E13/ABS(H13-E13)</f>
        <v>2.3134102760514242E-2</v>
      </c>
      <c r="D14" s="9"/>
      <c r="E14" s="6"/>
      <c r="F14" s="6"/>
      <c r="G14" s="6"/>
      <c r="H14" s="6"/>
    </row>
    <row r="15" spans="1:9">
      <c r="A15" s="6" t="s">
        <v>100</v>
      </c>
      <c r="B15" s="6"/>
      <c r="C15" s="8">
        <f>C14*4</f>
        <v>9.2536411042056968E-2</v>
      </c>
      <c r="D15" s="8"/>
      <c r="E15" s="6"/>
      <c r="F15" s="6"/>
      <c r="G15" s="6"/>
      <c r="H15" s="6"/>
    </row>
    <row r="16" spans="1:9">
      <c r="A16" s="3" t="s">
        <v>103</v>
      </c>
      <c r="B16" s="12" t="s">
        <v>104</v>
      </c>
      <c r="C16" s="4" t="s">
        <v>92</v>
      </c>
      <c r="D16" s="5">
        <v>0.02</v>
      </c>
      <c r="E16" s="6"/>
      <c r="F16" s="6" t="s">
        <v>92</v>
      </c>
      <c r="G16" s="5">
        <v>0.03</v>
      </c>
      <c r="H16" s="6"/>
    </row>
    <row r="17" spans="1:8">
      <c r="A17" s="6"/>
      <c r="B17" s="6" t="s">
        <v>93</v>
      </c>
      <c r="C17" s="4" t="s">
        <v>94</v>
      </c>
      <c r="D17" s="7" t="s">
        <v>95</v>
      </c>
      <c r="E17" s="6" t="s">
        <v>96</v>
      </c>
      <c r="F17" s="4" t="s">
        <v>94</v>
      </c>
      <c r="G17" s="7" t="s">
        <v>95</v>
      </c>
      <c r="H17" s="6" t="s">
        <v>96</v>
      </c>
    </row>
    <row r="18" spans="1:8">
      <c r="A18" s="6" t="s">
        <v>97</v>
      </c>
      <c r="B18" s="6">
        <f>-20000+1000+600</f>
        <v>-18400</v>
      </c>
      <c r="C18" s="4">
        <v>1</v>
      </c>
      <c r="D18" s="6">
        <f>B18*C18</f>
        <v>-18400</v>
      </c>
      <c r="E18" s="6">
        <f>SUM(D18)</f>
        <v>-18400</v>
      </c>
      <c r="F18" s="6">
        <v>1</v>
      </c>
      <c r="G18" s="6">
        <f>B18*F18</f>
        <v>-18400</v>
      </c>
      <c r="H18" s="6">
        <f>G18</f>
        <v>-18400</v>
      </c>
    </row>
    <row r="19" spans="1:8" ht="15" customHeight="1">
      <c r="A19" s="6" t="s">
        <v>98</v>
      </c>
      <c r="B19" s="6">
        <v>995</v>
      </c>
      <c r="C19" s="11">
        <v>18.913900000000002</v>
      </c>
      <c r="D19" s="6">
        <f>B19*C19</f>
        <v>18819.3305</v>
      </c>
      <c r="E19" s="6">
        <f>E18+D19</f>
        <v>419.33050000000003</v>
      </c>
      <c r="F19" s="11">
        <v>16.935500000000001</v>
      </c>
      <c r="G19" s="6">
        <f>B19*F19</f>
        <v>16850.822500000002</v>
      </c>
      <c r="H19" s="6">
        <f>H18+G19</f>
        <v>-1549.177499999998</v>
      </c>
    </row>
    <row r="20" spans="1:8">
      <c r="A20" s="6" t="s">
        <v>99</v>
      </c>
      <c r="B20" s="6"/>
      <c r="C20" s="8">
        <f>D16+(G16-D16)*E19/ABS(H19-E19)</f>
        <v>2.2130194543278466E-2</v>
      </c>
      <c r="D20" s="9"/>
      <c r="E20" s="6"/>
      <c r="F20" s="6"/>
      <c r="G20" s="6"/>
      <c r="H20" s="6"/>
    </row>
    <row r="21" spans="1:8">
      <c r="A21" s="6" t="s">
        <v>100</v>
      </c>
      <c r="B21" s="6"/>
      <c r="C21" s="8">
        <f>C20*4</f>
        <v>8.8520778173113865E-2</v>
      </c>
      <c r="D21" s="8"/>
      <c r="E21" s="6"/>
      <c r="F21" s="6"/>
      <c r="G21" s="6"/>
      <c r="H21" s="6"/>
    </row>
    <row r="23" spans="1:8" ht="29.25" customHeight="1">
      <c r="A23" s="91" t="s">
        <v>105</v>
      </c>
      <c r="B23" s="91"/>
      <c r="C23" s="91"/>
      <c r="D23" s="91"/>
      <c r="E23" s="91"/>
      <c r="F23" s="91"/>
      <c r="G23" s="91"/>
      <c r="H23" s="91"/>
    </row>
    <row r="26" spans="1:8">
      <c r="D26" s="13"/>
    </row>
  </sheetData>
  <mergeCells count="2">
    <mergeCell ref="A1:H1"/>
    <mergeCell ref="A23:H23"/>
  </mergeCells>
  <phoneticPr fontId="2" type="noConversion"/>
  <pageMargins left="0.69861111111111107" right="0.69861111111111107" top="0.75" bottom="0.75" header="0.3" footer="0.3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5年租金</vt:lpstr>
      <vt:lpstr>考虑手续费的资金成本</vt:lpstr>
      <vt:lpstr>参数</vt:lpstr>
      <vt:lpstr>各方案租赁公司报酬率1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张艳坤</cp:lastModifiedBy>
  <cp:revision/>
  <dcterms:created xsi:type="dcterms:W3CDTF">2006-09-16T00:00:00Z</dcterms:created>
  <dcterms:modified xsi:type="dcterms:W3CDTF">2015-08-01T06:24:22Z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2052-9.1.0.5132</vt:lpwstr>
  </property>
</Properties>
</file>