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35" windowWidth="24240" windowHeight="13740"/>
  </bookViews>
  <sheets>
    <sheet name="还款计划表及IRR测算（建设期12个月）" sheetId="2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5" i="2" l="1"/>
  <c r="K5" i="2"/>
  <c r="L5" i="2"/>
  <c r="G6" i="2"/>
  <c r="E6" i="2"/>
  <c r="L6" i="2"/>
  <c r="E7" i="2"/>
  <c r="L7" i="2"/>
  <c r="E8" i="2"/>
  <c r="J8" i="2"/>
  <c r="K8" i="2"/>
  <c r="L8" i="2"/>
  <c r="E9" i="2"/>
  <c r="L9" i="2"/>
  <c r="H9" i="2"/>
  <c r="G10" i="2"/>
  <c r="E10" i="2"/>
  <c r="L10" i="2"/>
  <c r="H10" i="2"/>
  <c r="G11" i="2"/>
  <c r="E11" i="2"/>
  <c r="J11" i="2"/>
  <c r="K11" i="2"/>
  <c r="L11" i="2"/>
  <c r="H8" i="2"/>
  <c r="H11" i="2"/>
  <c r="G12" i="2"/>
  <c r="E12" i="2"/>
  <c r="L12" i="2"/>
  <c r="H12" i="2"/>
  <c r="G13" i="2"/>
  <c r="E13" i="2"/>
  <c r="L13" i="2"/>
  <c r="H13" i="2"/>
  <c r="G14" i="2"/>
  <c r="E14" i="2"/>
  <c r="J14" i="2"/>
  <c r="K14" i="2"/>
  <c r="L14" i="2"/>
  <c r="H14" i="2"/>
  <c r="G15" i="2"/>
  <c r="E15" i="2"/>
  <c r="L15" i="2"/>
  <c r="H15" i="2"/>
  <c r="G16" i="2"/>
  <c r="E16" i="2"/>
  <c r="L16" i="2"/>
  <c r="H16" i="2"/>
  <c r="G17" i="2"/>
  <c r="E17" i="2"/>
  <c r="J17" i="2"/>
  <c r="K17" i="2"/>
  <c r="L17" i="2"/>
  <c r="O11" i="2"/>
  <c r="O4" i="2"/>
  <c r="E18" i="2"/>
  <c r="L18" i="2"/>
  <c r="E19" i="2"/>
  <c r="L19" i="2"/>
  <c r="E20" i="2"/>
  <c r="L20" i="2"/>
  <c r="E21" i="2"/>
  <c r="L21" i="2"/>
  <c r="E22" i="2"/>
  <c r="L22" i="2"/>
  <c r="E23" i="2"/>
  <c r="L23" i="2"/>
  <c r="E24" i="2"/>
  <c r="L24" i="2"/>
  <c r="E25" i="2"/>
  <c r="L25" i="2"/>
  <c r="E26" i="2"/>
  <c r="L26" i="2"/>
  <c r="E27" i="2"/>
  <c r="L27" i="2"/>
  <c r="E28" i="2"/>
  <c r="L28" i="2"/>
  <c r="E29" i="2"/>
  <c r="L29" i="2"/>
  <c r="E30" i="2"/>
  <c r="L30" i="2"/>
  <c r="E31" i="2"/>
  <c r="L31" i="2"/>
  <c r="E32" i="2"/>
  <c r="L32" i="2"/>
  <c r="E33" i="2"/>
  <c r="L33" i="2"/>
  <c r="E34" i="2"/>
  <c r="L34" i="2"/>
  <c r="E35" i="2"/>
  <c r="L35" i="2"/>
  <c r="E36" i="2"/>
  <c r="L36" i="2"/>
  <c r="E37" i="2"/>
  <c r="L37" i="2"/>
  <c r="E38" i="2"/>
  <c r="L38" i="2"/>
  <c r="E39" i="2"/>
  <c r="L39" i="2"/>
  <c r="E40" i="2"/>
  <c r="L40" i="2"/>
  <c r="E41" i="2"/>
  <c r="L41" i="2"/>
  <c r="E42" i="2"/>
  <c r="L42" i="2"/>
  <c r="E43" i="2"/>
  <c r="L43" i="2"/>
  <c r="E44" i="2"/>
  <c r="L44" i="2"/>
  <c r="E45" i="2"/>
  <c r="L45" i="2"/>
  <c r="E46" i="2"/>
  <c r="L46" i="2"/>
  <c r="E47" i="2"/>
  <c r="L47" i="2"/>
  <c r="E48" i="2"/>
  <c r="L48" i="2"/>
  <c r="M3" i="2"/>
  <c r="O6" i="2"/>
  <c r="E49" i="2"/>
  <c r="E50" i="2"/>
  <c r="E51" i="2"/>
  <c r="E52" i="2"/>
  <c r="E53" i="2"/>
  <c r="E54" i="2"/>
  <c r="H17" i="2"/>
  <c r="G18" i="2"/>
  <c r="F18" i="2"/>
  <c r="H18" i="2"/>
  <c r="G19" i="2"/>
  <c r="F19" i="2"/>
  <c r="H19" i="2"/>
  <c r="G20" i="2"/>
  <c r="F20" i="2"/>
  <c r="H20" i="2"/>
  <c r="G21" i="2"/>
  <c r="F21" i="2"/>
  <c r="H21" i="2"/>
  <c r="G22" i="2"/>
  <c r="F22" i="2"/>
  <c r="H22" i="2"/>
  <c r="G23" i="2"/>
  <c r="F23" i="2"/>
  <c r="H23" i="2"/>
  <c r="G24" i="2"/>
  <c r="F24" i="2"/>
  <c r="H24" i="2"/>
  <c r="G25" i="2"/>
  <c r="F25" i="2"/>
  <c r="H25" i="2"/>
  <c r="G26" i="2"/>
  <c r="F26" i="2"/>
  <c r="H26" i="2"/>
  <c r="G27" i="2"/>
  <c r="F27" i="2"/>
  <c r="H27" i="2"/>
  <c r="G28" i="2"/>
  <c r="F28" i="2"/>
  <c r="H28" i="2"/>
  <c r="G29" i="2"/>
  <c r="F29" i="2"/>
  <c r="H29" i="2"/>
  <c r="G30" i="2"/>
  <c r="F30" i="2"/>
  <c r="H30" i="2"/>
  <c r="G31" i="2"/>
  <c r="F31" i="2"/>
  <c r="H31" i="2"/>
  <c r="G32" i="2"/>
  <c r="F32" i="2"/>
  <c r="H32" i="2"/>
  <c r="G33" i="2"/>
  <c r="F33" i="2"/>
  <c r="H33" i="2"/>
  <c r="G34" i="2"/>
  <c r="F34" i="2"/>
  <c r="H34" i="2"/>
  <c r="G35" i="2"/>
  <c r="F35" i="2"/>
  <c r="H35" i="2"/>
  <c r="G36" i="2"/>
  <c r="F36" i="2"/>
  <c r="H36" i="2"/>
  <c r="G37" i="2"/>
  <c r="F37" i="2"/>
  <c r="H37" i="2"/>
  <c r="G38" i="2"/>
  <c r="F38" i="2"/>
  <c r="H38" i="2"/>
  <c r="G39" i="2"/>
  <c r="F39" i="2"/>
  <c r="H39" i="2"/>
  <c r="G40" i="2"/>
  <c r="F40" i="2"/>
  <c r="H40" i="2"/>
  <c r="G41" i="2"/>
  <c r="F41" i="2"/>
  <c r="H41" i="2"/>
  <c r="G42" i="2"/>
  <c r="F42" i="2"/>
  <c r="H42" i="2"/>
  <c r="G43" i="2"/>
  <c r="F43" i="2"/>
  <c r="H43" i="2"/>
  <c r="G44" i="2"/>
  <c r="F44" i="2"/>
  <c r="H44" i="2"/>
  <c r="G45" i="2"/>
  <c r="F45" i="2"/>
  <c r="H45" i="2"/>
  <c r="G46" i="2"/>
  <c r="F46" i="2"/>
  <c r="H46" i="2"/>
  <c r="G47" i="2"/>
  <c r="F47" i="2"/>
  <c r="H47" i="2"/>
  <c r="G48" i="2"/>
  <c r="F48" i="2"/>
  <c r="H48" i="2"/>
  <c r="G49" i="2"/>
  <c r="F49" i="2"/>
  <c r="H49" i="2"/>
  <c r="G50" i="2"/>
  <c r="F50" i="2"/>
  <c r="H50" i="2"/>
  <c r="G51" i="2"/>
  <c r="F51" i="2"/>
  <c r="H51" i="2"/>
  <c r="G52" i="2"/>
  <c r="F52" i="2"/>
  <c r="H52" i="2"/>
  <c r="G53" i="2"/>
  <c r="G54" i="2"/>
  <c r="F53" i="2"/>
  <c r="F54" i="2"/>
  <c r="H53" i="2"/>
  <c r="O7" i="2"/>
  <c r="O5" i="2"/>
  <c r="S24" i="2"/>
</calcChain>
</file>

<file path=xl/comments1.xml><?xml version="1.0" encoding="utf-8"?>
<comments xmlns="http://schemas.openxmlformats.org/spreadsheetml/2006/main">
  <authors>
    <author>张艳坤</author>
  </authors>
  <commentList>
    <comment ref="D5" authorId="0">
      <text>
        <r>
          <rPr>
            <b/>
            <sz val="11"/>
            <color indexed="81"/>
            <rFont val="宋体"/>
            <family val="3"/>
            <charset val="134"/>
          </rPr>
          <t>张艳坤:</t>
        </r>
        <r>
          <rPr>
            <sz val="11"/>
            <color indexed="81"/>
            <rFont val="宋体"/>
            <family val="3"/>
            <charset val="134"/>
          </rPr>
          <t xml:space="preserve">
起租日，计算规则：建造期只还息，不还本。利率月息1%。</t>
        </r>
      </text>
    </comment>
    <comment ref="D17" authorId="0">
      <text>
        <r>
          <rPr>
            <b/>
            <sz val="11"/>
            <color indexed="81"/>
            <rFont val="宋体"/>
            <family val="3"/>
            <charset val="134"/>
          </rPr>
          <t>张艳坤:</t>
        </r>
        <r>
          <rPr>
            <sz val="11"/>
            <color indexed="81"/>
            <rFont val="宋体"/>
            <family val="3"/>
            <charset val="134"/>
          </rPr>
          <t xml:space="preserve">
全部投放完毕立即重新开始全额计算。运营期36个月。15保证金，4手续费，基准利率上浮。运营期利率不能倒挂，项目收益率在12左右。</t>
        </r>
      </text>
    </comment>
  </commentList>
</comments>
</file>

<file path=xl/sharedStrings.xml><?xml version="1.0" encoding="utf-8"?>
<sst xmlns="http://schemas.openxmlformats.org/spreadsheetml/2006/main" count="25" uniqueCount="25">
  <si>
    <t>保证金</t>
    <phoneticPr fontId="19" type="noConversion"/>
  </si>
  <si>
    <t>手续费</t>
    <phoneticPr fontId="19" type="noConversion"/>
  </si>
  <si>
    <t>本金总额</t>
    <phoneticPr fontId="19" type="noConversion"/>
  </si>
  <si>
    <t>设备总金额</t>
    <phoneticPr fontId="19" type="noConversion"/>
  </si>
  <si>
    <t>首付款</t>
    <phoneticPr fontId="19" type="noConversion"/>
  </si>
  <si>
    <t>现金流</t>
    <phoneticPr fontId="19" type="noConversion"/>
  </si>
  <si>
    <t>建设期</t>
    <phoneticPr fontId="19" type="noConversion"/>
  </si>
  <si>
    <t>本金</t>
    <phoneticPr fontId="19" type="noConversion"/>
  </si>
  <si>
    <t>利息</t>
    <phoneticPr fontId="19" type="noConversion"/>
  </si>
  <si>
    <t>剩余本金</t>
    <phoneticPr fontId="19" type="noConversion"/>
  </si>
  <si>
    <t>租金</t>
    <phoneticPr fontId="19" type="noConversion"/>
  </si>
  <si>
    <t>偿租时间</t>
    <rPh sb="0" eb="1">
      <t>chang'zu</t>
    </rPh>
    <rPh sb="2" eb="3">
      <t>shi'jian</t>
    </rPh>
    <phoneticPr fontId="19" type="noConversion"/>
  </si>
  <si>
    <t>融资租赁业务报价表</t>
    <rPh sb="0" eb="1">
      <t>r'z'z'l</t>
    </rPh>
    <rPh sb="4" eb="5">
      <t>ye'wu</t>
    </rPh>
    <rPh sb="6" eb="7">
      <t>bao'jia'biao</t>
    </rPh>
    <phoneticPr fontId="19" type="noConversion"/>
  </si>
  <si>
    <t>分批投放时间/金额</t>
    <rPh sb="0" eb="1">
      <t>fen'pi</t>
    </rPh>
    <phoneticPr fontId="19" type="noConversion"/>
  </si>
  <si>
    <t>运营期</t>
    <rPh sb="0" eb="1">
      <t>yun'ying'qi</t>
    </rPh>
    <phoneticPr fontId="19" type="noConversion"/>
  </si>
  <si>
    <t xml:space="preserve"> </t>
    <phoneticPr fontId="19" type="noConversion"/>
  </si>
  <si>
    <t>等额本息基准利率上浮调整</t>
    <rPh sb="0" eb="1">
      <t>deng'e</t>
    </rPh>
    <rPh sb="2" eb="3">
      <t>ben'xi</t>
    </rPh>
    <rPh sb="4" eb="5">
      <t>ji'zhun</t>
    </rPh>
    <rPh sb="6" eb="7">
      <t>li'l</t>
    </rPh>
    <rPh sb="8" eb="9">
      <t>shang'fu</t>
    </rPh>
    <rPh sb="10" eb="11">
      <t>tiao'zheng</t>
    </rPh>
    <phoneticPr fontId="19" type="noConversion"/>
  </si>
  <si>
    <t>基准利率</t>
    <rPh sb="0" eb="1">
      <t>ji'zhun'l'li'lv</t>
    </rPh>
    <rPh sb="2" eb="3">
      <t>li'lv</t>
    </rPh>
    <phoneticPr fontId="19" type="noConversion"/>
  </si>
  <si>
    <t>租赁年利率</t>
    <rPh sb="0" eb="1">
      <t>zu'lin'ming</t>
    </rPh>
    <rPh sb="2" eb="3">
      <t>nian</t>
    </rPh>
    <rPh sb="3" eb="4">
      <t>li'l</t>
    </rPh>
    <phoneticPr fontId="19" type="noConversion"/>
  </si>
  <si>
    <t>合计</t>
    <rPh sb="0" eb="1">
      <t>he'ji</t>
    </rPh>
    <phoneticPr fontId="19" type="noConversion"/>
  </si>
  <si>
    <t>IRR</t>
    <phoneticPr fontId="19" type="noConversion"/>
  </si>
  <si>
    <t>保证金</t>
    <rPh sb="0" eb="1">
      <t>bao'zheng'jin</t>
    </rPh>
    <phoneticPr fontId="19" type="noConversion"/>
  </si>
  <si>
    <t>手续费</t>
    <rPh sb="0" eb="1">
      <t>shou'xu'fei</t>
    </rPh>
    <phoneticPr fontId="19" type="noConversion"/>
  </si>
  <si>
    <t>修正现金流</t>
    <rPh sb="0" eb="1">
      <t>xiu'zheng</t>
    </rPh>
    <rPh sb="2" eb="3">
      <t>xian'jin'liu</t>
    </rPh>
    <phoneticPr fontId="19" type="noConversion"/>
  </si>
  <si>
    <t>保证金抵扣</t>
    <rPh sb="0" eb="1">
      <t>bao'zheng'jin</t>
    </rPh>
    <rPh sb="3" eb="4">
      <t>di'kou</t>
    </rPh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</si>
</sst>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 * #,##0.00_ ;_ * \-#,##0.00_ ;_ * &quot;-&quot;??_ ;_ @_ "/>
    <numFmt numFmtId="176" formatCode="&quot;¥&quot;#,##0.00_);[Red]\(&quot;¥&quot;#,##0.00\)"/>
    <numFmt numFmtId="177" formatCode="_(* #,##0.00_);_(* \(#,##0.00\);_(* &quot;-&quot;??_);_(@_)"/>
    <numFmt numFmtId="178" formatCode="_-* #,##0.00_-;\-* #,##0.00_-;_-* &quot;-&quot;??_-;_-@_-"/>
    <numFmt numFmtId="179" formatCode="0.0000%"/>
    <numFmt numFmtId="180" formatCode="&quot;¥&quot;#,##0.00;[Red]\-&quot;¥&quot;#,##0.00"/>
  </numFmts>
  <fonts count="30"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9"/>
      <name val="宋体"/>
      <family val="3"/>
      <charset val="134"/>
    </font>
    <font>
      <sz val="10"/>
      <name val="DengXian"/>
      <family val="3"/>
      <charset val="134"/>
      <scheme val="minor"/>
    </font>
    <font>
      <u/>
      <sz val="12"/>
      <color theme="10"/>
      <name val="宋体"/>
      <family val="3"/>
      <charset val="134"/>
    </font>
    <font>
      <u/>
      <sz val="12"/>
      <color theme="11"/>
      <name val="宋体"/>
      <family val="3"/>
      <charset val="134"/>
    </font>
    <font>
      <sz val="10"/>
      <name val="宋体"/>
      <family val="3"/>
      <charset val="134"/>
    </font>
    <font>
      <sz val="10"/>
      <color rgb="FFFF0000"/>
      <name val="宋体"/>
      <family val="3"/>
      <charset val="134"/>
    </font>
    <font>
      <sz val="10"/>
      <color rgb="FF000000"/>
      <name val="宋体"/>
      <family val="3"/>
      <charset val="134"/>
    </font>
    <font>
      <b/>
      <sz val="16"/>
      <name val="DengXian"/>
      <family val="4"/>
      <charset val="134"/>
      <scheme val="minor"/>
    </font>
    <font>
      <sz val="10"/>
      <color theme="0"/>
      <name val="宋体"/>
      <family val="3"/>
      <charset val="134"/>
    </font>
    <font>
      <b/>
      <sz val="11"/>
      <color indexed="81"/>
      <name val="宋体"/>
      <family val="3"/>
      <charset val="134"/>
    </font>
    <font>
      <sz val="11"/>
      <color indexed="81"/>
      <name val="宋体"/>
      <family val="3"/>
      <charset val="134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4FF6B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0" borderId="0"/>
    <xf numFmtId="0" fontId="9" fillId="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16" borderId="5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2" fillId="23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0" fillId="0" borderId="0" xfId="0" applyFont="1">
      <alignment vertical="center"/>
    </xf>
    <xf numFmtId="178" fontId="20" fillId="0" borderId="10" xfId="33" applyFont="1" applyBorder="1">
      <alignment vertical="center"/>
    </xf>
    <xf numFmtId="43" fontId="20" fillId="0" borderId="10" xfId="0" applyNumberFormat="1" applyFont="1" applyBorder="1">
      <alignment vertical="center"/>
    </xf>
    <xf numFmtId="43" fontId="20" fillId="0" borderId="0" xfId="0" applyNumberFormat="1" applyFont="1">
      <alignment vertical="center"/>
    </xf>
    <xf numFmtId="178" fontId="20" fillId="0" borderId="0" xfId="0" applyNumberFormat="1" applyFont="1">
      <alignment vertical="center"/>
    </xf>
    <xf numFmtId="10" fontId="20" fillId="24" borderId="0" xfId="0" applyNumberFormat="1" applyFont="1" applyFill="1">
      <alignment vertical="center"/>
    </xf>
    <xf numFmtId="176" fontId="20" fillId="0" borderId="0" xfId="0" applyNumberFormat="1" applyFont="1">
      <alignment vertical="center"/>
    </xf>
    <xf numFmtId="14" fontId="23" fillId="0" borderId="10" xfId="0" applyNumberFormat="1" applyFont="1" applyFill="1" applyBorder="1" applyAlignment="1">
      <alignment horizontal="right" vertical="center"/>
    </xf>
    <xf numFmtId="176" fontId="23" fillId="0" borderId="10" xfId="0" applyNumberFormat="1" applyFont="1" applyBorder="1">
      <alignment vertical="center"/>
    </xf>
    <xf numFmtId="14" fontId="23" fillId="0" borderId="10" xfId="0" applyNumberFormat="1" applyFont="1" applyFill="1" applyBorder="1">
      <alignment vertical="center"/>
    </xf>
    <xf numFmtId="176" fontId="25" fillId="0" borderId="10" xfId="0" applyNumberFormat="1" applyFont="1" applyBorder="1" applyAlignment="1">
      <alignment horizontal="right" vertical="center"/>
    </xf>
    <xf numFmtId="176" fontId="23" fillId="0" borderId="10" xfId="0" applyNumberFormat="1" applyFont="1" applyBorder="1" applyAlignment="1">
      <alignment horizontal="right" vertical="center"/>
    </xf>
    <xf numFmtId="0" fontId="20" fillId="0" borderId="0" xfId="0" applyFont="1" applyFill="1">
      <alignment vertical="center"/>
    </xf>
    <xf numFmtId="179" fontId="20" fillId="0" borderId="0" xfId="0" applyNumberFormat="1" applyFont="1" applyFill="1">
      <alignment vertical="center"/>
    </xf>
    <xf numFmtId="0" fontId="20" fillId="0" borderId="0" xfId="0" applyFont="1" applyBorder="1">
      <alignment vertical="center"/>
    </xf>
    <xf numFmtId="178" fontId="20" fillId="0" borderId="0" xfId="33" applyFont="1" applyBorder="1">
      <alignment vertical="center"/>
    </xf>
    <xf numFmtId="43" fontId="20" fillId="0" borderId="0" xfId="0" applyNumberFormat="1" applyFont="1" applyBorder="1">
      <alignment vertical="center"/>
    </xf>
    <xf numFmtId="0" fontId="20" fillId="0" borderId="0" xfId="0" applyFont="1" applyAlignment="1">
      <alignment vertical="center" wrapText="1"/>
    </xf>
    <xf numFmtId="0" fontId="23" fillId="0" borderId="10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4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180" fontId="23" fillId="0" borderId="10" xfId="0" applyNumberFormat="1" applyFont="1" applyBorder="1">
      <alignment vertical="center"/>
    </xf>
    <xf numFmtId="4" fontId="20" fillId="0" borderId="10" xfId="0" applyNumberFormat="1" applyFont="1" applyFill="1" applyBorder="1">
      <alignment vertical="center"/>
    </xf>
    <xf numFmtId="43" fontId="20" fillId="0" borderId="10" xfId="0" applyNumberFormat="1" applyFont="1" applyFill="1" applyBorder="1">
      <alignment vertical="center"/>
    </xf>
    <xf numFmtId="180" fontId="24" fillId="0" borderId="10" xfId="0" applyNumberFormat="1" applyFont="1" applyBorder="1" applyAlignment="1">
      <alignment horizontal="right" vertical="center"/>
    </xf>
    <xf numFmtId="180" fontId="25" fillId="0" borderId="10" xfId="0" applyNumberFormat="1" applyFont="1" applyBorder="1" applyAlignment="1">
      <alignment horizontal="right" vertical="center"/>
    </xf>
    <xf numFmtId="0" fontId="20" fillId="0" borderId="0" xfId="0" applyFont="1" applyFill="1" applyBorder="1">
      <alignment vertical="center"/>
    </xf>
    <xf numFmtId="176" fontId="20" fillId="0" borderId="0" xfId="0" applyNumberFormat="1" applyFont="1" applyFill="1" applyBorder="1">
      <alignment vertical="center"/>
    </xf>
    <xf numFmtId="10" fontId="20" fillId="0" borderId="0" xfId="0" applyNumberFormat="1" applyFont="1" applyFill="1" applyBorder="1">
      <alignment vertical="center"/>
    </xf>
    <xf numFmtId="14" fontId="20" fillId="0" borderId="0" xfId="0" applyNumberFormat="1" applyFont="1" applyFill="1" applyBorder="1">
      <alignment vertical="center"/>
    </xf>
    <xf numFmtId="10" fontId="20" fillId="0" borderId="10" xfId="0" applyNumberFormat="1" applyFont="1" applyBorder="1">
      <alignment vertical="center"/>
    </xf>
    <xf numFmtId="43" fontId="20" fillId="0" borderId="0" xfId="0" applyNumberFormat="1" applyFont="1" applyFill="1" applyBorder="1">
      <alignment vertical="center"/>
    </xf>
    <xf numFmtId="179" fontId="20" fillId="0" borderId="10" xfId="62" applyNumberFormat="1" applyFont="1" applyBorder="1" applyAlignment="1">
      <alignment vertical="center"/>
    </xf>
    <xf numFmtId="9" fontId="20" fillId="27" borderId="10" xfId="0" applyNumberFormat="1" applyFont="1" applyFill="1" applyBorder="1">
      <alignment vertical="center"/>
    </xf>
    <xf numFmtId="14" fontId="27" fillId="28" borderId="10" xfId="0" applyNumberFormat="1" applyFont="1" applyFill="1" applyBorder="1">
      <alignment vertical="center"/>
    </xf>
    <xf numFmtId="0" fontId="23" fillId="0" borderId="0" xfId="0" applyFont="1" applyAlignment="1">
      <alignment horizontal="left" vertical="center"/>
    </xf>
    <xf numFmtId="0" fontId="23" fillId="0" borderId="10" xfId="0" applyFont="1" applyBorder="1" applyAlignment="1">
      <alignment horizontal="left" vertical="center"/>
    </xf>
    <xf numFmtId="178" fontId="23" fillId="0" borderId="10" xfId="33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43" fontId="23" fillId="0" borderId="0" xfId="0" applyNumberFormat="1" applyFont="1" applyAlignment="1">
      <alignment horizontal="left" vertical="center"/>
    </xf>
    <xf numFmtId="178" fontId="23" fillId="0" borderId="0" xfId="0" applyNumberFormat="1" applyFont="1" applyAlignment="1">
      <alignment horizontal="left" vertical="center"/>
    </xf>
    <xf numFmtId="14" fontId="23" fillId="0" borderId="0" xfId="0" applyNumberFormat="1" applyFont="1" applyAlignment="1">
      <alignment horizontal="left" vertical="center"/>
    </xf>
    <xf numFmtId="180" fontId="23" fillId="0" borderId="10" xfId="0" applyNumberFormat="1" applyFont="1" applyBorder="1" applyAlignment="1">
      <alignment horizontal="right" vertical="center"/>
    </xf>
    <xf numFmtId="176" fontId="23" fillId="0" borderId="10" xfId="0" applyNumberFormat="1" applyFont="1" applyFill="1" applyBorder="1">
      <alignment vertical="center"/>
    </xf>
    <xf numFmtId="0" fontId="20" fillId="29" borderId="10" xfId="0" applyFont="1" applyFill="1" applyBorder="1" applyAlignment="1">
      <alignment horizontal="center" vertical="center"/>
    </xf>
    <xf numFmtId="4" fontId="20" fillId="0" borderId="0" xfId="0" applyNumberFormat="1" applyFont="1" applyFill="1" applyBorder="1" applyAlignment="1">
      <alignment horizontal="center" vertical="center"/>
    </xf>
    <xf numFmtId="4" fontId="20" fillId="0" borderId="0" xfId="0" applyNumberFormat="1" applyFont="1" applyFill="1" applyBorder="1">
      <alignment vertical="center"/>
    </xf>
    <xf numFmtId="177" fontId="20" fillId="0" borderId="0" xfId="0" applyNumberFormat="1" applyFont="1" applyFill="1">
      <alignment vertical="center"/>
    </xf>
    <xf numFmtId="43" fontId="20" fillId="30" borderId="10" xfId="0" applyNumberFormat="1" applyFont="1" applyFill="1" applyBorder="1">
      <alignment vertical="center"/>
    </xf>
    <xf numFmtId="179" fontId="20" fillId="29" borderId="10" xfId="0" applyNumberFormat="1" applyFont="1" applyFill="1" applyBorder="1" applyAlignment="1">
      <alignment horizontal="center" vertical="center"/>
    </xf>
    <xf numFmtId="43" fontId="20" fillId="24" borderId="0" xfId="0" applyNumberFormat="1" applyFont="1" applyFill="1">
      <alignment vertical="center"/>
    </xf>
    <xf numFmtId="0" fontId="23" fillId="25" borderId="10" xfId="0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</cellXfs>
  <cellStyles count="75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百分比" xfId="62" builtinId="5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差" xfId="24" builtinId="27" customBuiltin="1"/>
    <cellStyle name="常规" xfId="0" builtinId="0"/>
    <cellStyle name="常规 125" xfId="25"/>
    <cellStyle name="超链接" xfId="44" builtinId="8" hidden="1"/>
    <cellStyle name="超链接" xfId="46" builtinId="8" hidden="1"/>
    <cellStyle name="超链接" xfId="48" builtinId="8" hidden="1"/>
    <cellStyle name="超链接" xfId="50" builtinId="8" hidden="1"/>
    <cellStyle name="超链接" xfId="52" builtinId="8" hidden="1"/>
    <cellStyle name="超链接" xfId="54" builtinId="8" hidden="1"/>
    <cellStyle name="超链接" xfId="56" builtinId="8" hidden="1"/>
    <cellStyle name="超链接" xfId="58" builtinId="8" hidden="1"/>
    <cellStyle name="超链接" xfId="60" builtinId="8" hidden="1"/>
    <cellStyle name="超链接" xfId="63" builtinId="8" hidden="1"/>
    <cellStyle name="超链接" xfId="65" builtinId="8" hidden="1"/>
    <cellStyle name="超链接" xfId="67" builtinId="8" hidden="1"/>
    <cellStyle name="超链接" xfId="69" builtinId="8" hidden="1"/>
    <cellStyle name="超链接" xfId="71" builtinId="8" hidden="1"/>
    <cellStyle name="超链接" xfId="73" builtinId="8" hidden="1"/>
    <cellStyle name="好" xfId="26" builtinId="26" customBuiltin="1"/>
    <cellStyle name="汇总" xfId="27" builtinId="25" customBuiltin="1"/>
    <cellStyle name="计算" xfId="28" builtinId="22" customBuiltin="1"/>
    <cellStyle name="检查单元格" xfId="29" builtinId="23" customBuiltin="1"/>
    <cellStyle name="解释性文本" xfId="30" builtinId="53" customBuiltin="1"/>
    <cellStyle name="警告文本" xfId="31" builtinId="11" customBuiltin="1"/>
    <cellStyle name="链接单元格" xfId="32" builtinId="24" customBuiltin="1"/>
    <cellStyle name="千位分隔" xfId="33" builtinId="3"/>
    <cellStyle name="强调文字颜色 1" xfId="34" builtinId="29" customBuiltin="1"/>
    <cellStyle name="强调文字颜色 2" xfId="35" builtinId="33" customBuiltin="1"/>
    <cellStyle name="强调文字颜色 3" xfId="36" builtinId="37" customBuiltin="1"/>
    <cellStyle name="强调文字颜色 4" xfId="37" builtinId="41" customBuiltin="1"/>
    <cellStyle name="强调文字颜色 5" xfId="38" builtinId="45" customBuiltin="1"/>
    <cellStyle name="强调文字颜色 6" xfId="39" builtinId="49" customBuiltin="1"/>
    <cellStyle name="适中" xfId="40" builtinId="28" customBuiltin="1"/>
    <cellStyle name="输出" xfId="41" builtinId="21" customBuiltin="1"/>
    <cellStyle name="输入" xfId="42" builtinId="20" customBuiltin="1"/>
    <cellStyle name="已访问的超链接" xfId="45" builtinId="9" hidden="1"/>
    <cellStyle name="已访问的超链接" xfId="47" builtinId="9" hidden="1"/>
    <cellStyle name="已访问的超链接" xfId="49" builtinId="9" hidden="1"/>
    <cellStyle name="已访问的超链接" xfId="51" builtinId="9" hidden="1"/>
    <cellStyle name="已访问的超链接" xfId="53" builtinId="9" hidden="1"/>
    <cellStyle name="已访问的超链接" xfId="55" builtinId="9" hidden="1"/>
    <cellStyle name="已访问的超链接" xfId="57" builtinId="9" hidden="1"/>
    <cellStyle name="已访问的超链接" xfId="59" builtinId="9" hidden="1"/>
    <cellStyle name="已访问的超链接" xfId="61" builtinId="9" hidden="1"/>
    <cellStyle name="已访问的超链接" xfId="64" builtinId="9" hidden="1"/>
    <cellStyle name="已访问的超链接" xfId="66" builtinId="9" hidden="1"/>
    <cellStyle name="已访问的超链接" xfId="68" builtinId="9" hidden="1"/>
    <cellStyle name="已访问的超链接" xfId="70" builtinId="9" hidden="1"/>
    <cellStyle name="已访问的超链接" xfId="72" builtinId="9" hidden="1"/>
    <cellStyle name="已访问的超链接" xfId="74" builtinId="9" hidden="1"/>
    <cellStyle name="注释" xfId="43" builtinId="10" customBuiltin="1"/>
  </cellStyles>
  <dxfs count="0"/>
  <tableStyles count="0" defaultTableStyle="TableStyleMedium9" defaultPivotStyle="PivotStyleLight16"/>
  <colors>
    <mruColors>
      <color rgb="FFF4FF6B"/>
      <color rgb="FF2BE4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U58"/>
  <sheetViews>
    <sheetView tabSelected="1" topLeftCell="B1" workbookViewId="0">
      <selection activeCell="E18" sqref="E18"/>
    </sheetView>
  </sheetViews>
  <sheetFormatPr defaultColWidth="8.875" defaultRowHeight="12"/>
  <cols>
    <col min="1" max="1" width="2.875" style="1" customWidth="1"/>
    <col min="2" max="2" width="3.125" style="1" bestFit="1" customWidth="1"/>
    <col min="3" max="3" width="6.375" style="1" bestFit="1" customWidth="1"/>
    <col min="4" max="4" width="14.5" style="1" customWidth="1"/>
    <col min="5" max="5" width="14.875" style="1" bestFit="1" customWidth="1"/>
    <col min="6" max="6" width="17.875" style="1" customWidth="1"/>
    <col min="7" max="7" width="16.625" style="1" customWidth="1"/>
    <col min="8" max="8" width="15.125" style="7" bestFit="1" customWidth="1"/>
    <col min="9" max="9" width="15.625" style="7" bestFit="1" customWidth="1"/>
    <col min="10" max="11" width="12.375" style="7" bestFit="1" customWidth="1"/>
    <col min="12" max="12" width="16.125" style="13" bestFit="1" customWidth="1"/>
    <col min="13" max="13" width="10.625" style="13" bestFit="1" customWidth="1"/>
    <col min="14" max="14" width="21.5" style="38" bestFit="1" customWidth="1"/>
    <col min="15" max="16" width="15.125" style="1" bestFit="1" customWidth="1"/>
    <col min="17" max="17" width="20.125" style="1" customWidth="1"/>
    <col min="18" max="18" width="15.125" style="1" bestFit="1" customWidth="1"/>
    <col min="19" max="19" width="14.375" style="1" customWidth="1"/>
    <col min="20" max="20" width="14.625" style="1" customWidth="1"/>
    <col min="21" max="21" width="16.125" style="1" bestFit="1" customWidth="1"/>
    <col min="22" max="16384" width="8.875" style="1"/>
  </cols>
  <sheetData>
    <row r="2" spans="2:18" ht="15" customHeight="1">
      <c r="B2" s="59" t="s">
        <v>12</v>
      </c>
      <c r="C2" s="60"/>
      <c r="D2" s="60"/>
      <c r="E2" s="60"/>
      <c r="F2" s="60"/>
      <c r="G2" s="60"/>
      <c r="H2" s="60"/>
      <c r="I2" s="60"/>
      <c r="J2" s="60"/>
      <c r="K2" s="61"/>
      <c r="L2" s="56" t="s">
        <v>5</v>
      </c>
      <c r="M2" s="47" t="s">
        <v>20</v>
      </c>
    </row>
    <row r="3" spans="2:18" ht="21" customHeight="1">
      <c r="B3" s="62"/>
      <c r="C3" s="63"/>
      <c r="D3" s="63"/>
      <c r="E3" s="63"/>
      <c r="F3" s="63"/>
      <c r="G3" s="63"/>
      <c r="H3" s="63"/>
      <c r="I3" s="63"/>
      <c r="J3" s="63"/>
      <c r="K3" s="64"/>
      <c r="L3" s="57"/>
      <c r="M3" s="52">
        <f>IRR(L5:L53,0.1)*12</f>
        <v>0.12283699817630112</v>
      </c>
    </row>
    <row r="4" spans="2:18">
      <c r="B4" s="19"/>
      <c r="C4" s="19"/>
      <c r="D4" s="20" t="s">
        <v>11</v>
      </c>
      <c r="E4" s="21" t="s">
        <v>10</v>
      </c>
      <c r="F4" s="20" t="s">
        <v>7</v>
      </c>
      <c r="G4" s="20" t="s">
        <v>8</v>
      </c>
      <c r="H4" s="22" t="s">
        <v>9</v>
      </c>
      <c r="I4" s="22" t="s">
        <v>13</v>
      </c>
      <c r="J4" s="22" t="s">
        <v>21</v>
      </c>
      <c r="K4" s="22" t="s">
        <v>22</v>
      </c>
      <c r="L4" s="23" t="s">
        <v>23</v>
      </c>
      <c r="M4" s="48"/>
      <c r="N4" s="39" t="s">
        <v>3</v>
      </c>
      <c r="O4" s="2">
        <f>-(I5+I8+I11+I14+I17)</f>
        <v>99000000</v>
      </c>
      <c r="P4" s="15"/>
      <c r="Q4" s="15"/>
      <c r="R4" s="15"/>
    </row>
    <row r="5" spans="2:18" ht="15" customHeight="1">
      <c r="B5" s="19">
        <v>0</v>
      </c>
      <c r="C5" s="54" t="s">
        <v>6</v>
      </c>
      <c r="D5" s="8">
        <v>42962</v>
      </c>
      <c r="E5" s="12">
        <v>0</v>
      </c>
      <c r="F5" s="9">
        <v>0</v>
      </c>
      <c r="G5" s="24">
        <v>0</v>
      </c>
      <c r="H5" s="24">
        <v>44000000</v>
      </c>
      <c r="I5" s="24">
        <v>-44000000</v>
      </c>
      <c r="J5" s="24">
        <f>-I5*15%</f>
        <v>6600000</v>
      </c>
      <c r="K5" s="24">
        <f>-I5*4%</f>
        <v>1760000</v>
      </c>
      <c r="L5" s="25">
        <f>I5+J5+K5</f>
        <v>-35640000</v>
      </c>
      <c r="M5" s="49"/>
      <c r="N5" s="39" t="s">
        <v>2</v>
      </c>
      <c r="O5" s="2">
        <f>O4</f>
        <v>99000000</v>
      </c>
      <c r="P5" s="15"/>
      <c r="Q5" s="15"/>
      <c r="R5" s="15"/>
    </row>
    <row r="6" spans="2:18">
      <c r="B6" s="19">
        <v>1</v>
      </c>
      <c r="C6" s="54"/>
      <c r="D6" s="10">
        <v>42993</v>
      </c>
      <c r="E6" s="11">
        <f>F6+G6</f>
        <v>440000</v>
      </c>
      <c r="F6" s="9">
        <v>0</v>
      </c>
      <c r="G6" s="24">
        <f>H5*1%</f>
        <v>440000</v>
      </c>
      <c r="H6" s="24">
        <v>44000000</v>
      </c>
      <c r="I6" s="24"/>
      <c r="J6" s="24"/>
      <c r="K6" s="24"/>
      <c r="L6" s="26">
        <f>E6</f>
        <v>440000</v>
      </c>
      <c r="M6" s="34"/>
      <c r="N6" s="39" t="s">
        <v>0</v>
      </c>
      <c r="O6" s="2">
        <f>O4*15%</f>
        <v>14850000</v>
      </c>
      <c r="P6" s="15"/>
      <c r="Q6" s="15"/>
      <c r="R6" s="15"/>
    </row>
    <row r="7" spans="2:18">
      <c r="B7" s="19">
        <v>2</v>
      </c>
      <c r="C7" s="54"/>
      <c r="D7" s="10">
        <v>43023</v>
      </c>
      <c r="E7" s="11">
        <f t="shared" ref="E7:E17" si="0">F7+G7</f>
        <v>440000</v>
      </c>
      <c r="F7" s="9">
        <v>0</v>
      </c>
      <c r="G7" s="24">
        <v>440000</v>
      </c>
      <c r="H7" s="24">
        <v>44000000</v>
      </c>
      <c r="I7" s="24"/>
      <c r="J7" s="24"/>
      <c r="K7" s="24"/>
      <c r="L7" s="26">
        <f>E7</f>
        <v>440000</v>
      </c>
      <c r="M7" s="34"/>
      <c r="N7" s="39" t="s">
        <v>1</v>
      </c>
      <c r="O7" s="2">
        <f>O4*3%</f>
        <v>2970000</v>
      </c>
      <c r="P7" s="15"/>
      <c r="Q7" s="15"/>
      <c r="R7" s="15"/>
    </row>
    <row r="8" spans="2:18">
      <c r="B8" s="19">
        <v>3</v>
      </c>
      <c r="C8" s="54"/>
      <c r="D8" s="10">
        <v>43054</v>
      </c>
      <c r="E8" s="11">
        <f t="shared" si="0"/>
        <v>440000</v>
      </c>
      <c r="F8" s="9">
        <v>0</v>
      </c>
      <c r="G8" s="24">
        <v>440000</v>
      </c>
      <c r="H8" s="24">
        <f>H5+22000000</f>
        <v>66000000</v>
      </c>
      <c r="I8" s="24">
        <v>-22000000</v>
      </c>
      <c r="J8" s="24">
        <f>-I8*15%</f>
        <v>3300000</v>
      </c>
      <c r="K8" s="24">
        <f>-I8*4%</f>
        <v>880000</v>
      </c>
      <c r="L8" s="26">
        <f>E8+I8+J8+K8</f>
        <v>-17380000</v>
      </c>
      <c r="M8" s="34"/>
      <c r="N8" s="39" t="s">
        <v>4</v>
      </c>
      <c r="O8" s="3">
        <v>0</v>
      </c>
      <c r="P8" s="15"/>
      <c r="Q8" s="15"/>
      <c r="R8" s="15"/>
    </row>
    <row r="9" spans="2:18">
      <c r="B9" s="19">
        <v>4</v>
      </c>
      <c r="C9" s="54"/>
      <c r="D9" s="10">
        <v>43084</v>
      </c>
      <c r="E9" s="11">
        <f t="shared" si="0"/>
        <v>660000</v>
      </c>
      <c r="F9" s="9">
        <v>0</v>
      </c>
      <c r="G9" s="24">
        <v>660000</v>
      </c>
      <c r="H9" s="24">
        <f t="shared" ref="H9:H10" si="1">H6+22000000</f>
        <v>66000000</v>
      </c>
      <c r="I9" s="24"/>
      <c r="J9" s="24"/>
      <c r="K9" s="24"/>
      <c r="L9" s="26">
        <f>E9</f>
        <v>660000</v>
      </c>
      <c r="M9" s="34"/>
      <c r="N9" s="39" t="s">
        <v>16</v>
      </c>
      <c r="O9" s="36">
        <v>0.05</v>
      </c>
      <c r="P9" s="15"/>
      <c r="Q9" s="15"/>
      <c r="R9" s="15"/>
    </row>
    <row r="10" spans="2:18">
      <c r="B10" s="19">
        <v>5</v>
      </c>
      <c r="C10" s="54"/>
      <c r="D10" s="10">
        <v>43115</v>
      </c>
      <c r="E10" s="11">
        <f t="shared" si="0"/>
        <v>660000</v>
      </c>
      <c r="F10" s="9">
        <v>0</v>
      </c>
      <c r="G10" s="24">
        <f>H9*1%</f>
        <v>660000</v>
      </c>
      <c r="H10" s="24">
        <f t="shared" si="1"/>
        <v>66000000</v>
      </c>
      <c r="I10" s="24"/>
      <c r="J10" s="24"/>
      <c r="K10" s="24"/>
      <c r="L10" s="26">
        <f>E10</f>
        <v>660000</v>
      </c>
      <c r="M10" s="34"/>
      <c r="N10" s="39" t="s">
        <v>17</v>
      </c>
      <c r="O10" s="33">
        <v>4.9000000000000002E-2</v>
      </c>
      <c r="P10" s="15"/>
      <c r="Q10" s="15"/>
      <c r="R10" s="15"/>
    </row>
    <row r="11" spans="2:18">
      <c r="B11" s="19">
        <v>6</v>
      </c>
      <c r="C11" s="54"/>
      <c r="D11" s="10">
        <v>43146</v>
      </c>
      <c r="E11" s="11">
        <f t="shared" si="0"/>
        <v>660000</v>
      </c>
      <c r="F11" s="9">
        <v>0</v>
      </c>
      <c r="G11" s="24">
        <f t="shared" ref="G11:G17" si="2">H10*1%</f>
        <v>660000</v>
      </c>
      <c r="H11" s="24">
        <f>H8+14000000</f>
        <v>80000000</v>
      </c>
      <c r="I11" s="24">
        <v>-14000000</v>
      </c>
      <c r="J11" s="24">
        <f>-I11*15%</f>
        <v>2100000</v>
      </c>
      <c r="K11" s="24">
        <f>-I11*4%</f>
        <v>560000</v>
      </c>
      <c r="L11" s="26">
        <f>E11+I11+J11+K11</f>
        <v>-10680000</v>
      </c>
      <c r="M11" s="34"/>
      <c r="N11" s="40" t="s">
        <v>18</v>
      </c>
      <c r="O11" s="35">
        <f>O10*(1+O9)</f>
        <v>5.1450000000000003E-2</v>
      </c>
      <c r="P11" s="16"/>
      <c r="Q11" s="15"/>
      <c r="R11" s="15"/>
    </row>
    <row r="12" spans="2:18">
      <c r="B12" s="19">
        <v>7</v>
      </c>
      <c r="C12" s="54"/>
      <c r="D12" s="10">
        <v>43174</v>
      </c>
      <c r="E12" s="11">
        <f t="shared" si="0"/>
        <v>800000</v>
      </c>
      <c r="F12" s="9">
        <v>0</v>
      </c>
      <c r="G12" s="24">
        <f t="shared" si="2"/>
        <v>800000</v>
      </c>
      <c r="H12" s="24">
        <f t="shared" ref="H12:H13" si="3">H9+14000000</f>
        <v>80000000</v>
      </c>
      <c r="I12" s="24"/>
      <c r="J12" s="24"/>
      <c r="K12" s="24"/>
      <c r="L12" s="26">
        <f>E12</f>
        <v>800000</v>
      </c>
      <c r="M12" s="34"/>
      <c r="N12" s="41"/>
      <c r="O12" s="15"/>
      <c r="P12" s="15"/>
      <c r="Q12" s="15"/>
      <c r="R12" s="15"/>
    </row>
    <row r="13" spans="2:18">
      <c r="B13" s="19">
        <v>8</v>
      </c>
      <c r="C13" s="54"/>
      <c r="D13" s="10">
        <v>43205</v>
      </c>
      <c r="E13" s="11">
        <f t="shared" si="0"/>
        <v>800000</v>
      </c>
      <c r="F13" s="9">
        <v>0</v>
      </c>
      <c r="G13" s="24">
        <f t="shared" si="2"/>
        <v>800000</v>
      </c>
      <c r="H13" s="24">
        <f t="shared" si="3"/>
        <v>80000000</v>
      </c>
      <c r="I13" s="24"/>
      <c r="J13" s="24"/>
      <c r="K13" s="24"/>
      <c r="L13" s="26">
        <f>E13</f>
        <v>800000</v>
      </c>
      <c r="M13" s="34"/>
      <c r="N13" s="41"/>
      <c r="O13" s="15"/>
      <c r="P13" s="15"/>
      <c r="Q13" s="15"/>
      <c r="R13" s="15"/>
    </row>
    <row r="14" spans="2:18">
      <c r="B14" s="19">
        <v>9</v>
      </c>
      <c r="C14" s="54"/>
      <c r="D14" s="10">
        <v>43235</v>
      </c>
      <c r="E14" s="11">
        <f t="shared" si="0"/>
        <v>800000</v>
      </c>
      <c r="F14" s="9">
        <v>0</v>
      </c>
      <c r="G14" s="24">
        <f t="shared" si="2"/>
        <v>800000</v>
      </c>
      <c r="H14" s="24">
        <f>H11+15000000</f>
        <v>95000000</v>
      </c>
      <c r="I14" s="24">
        <v>-15000000</v>
      </c>
      <c r="J14" s="24">
        <f>-I14*15%</f>
        <v>2250000</v>
      </c>
      <c r="K14" s="24">
        <f>-I14*4%</f>
        <v>600000</v>
      </c>
      <c r="L14" s="26">
        <f>E14+I14+J14+K14</f>
        <v>-11350000</v>
      </c>
      <c r="M14" s="34"/>
      <c r="N14" s="41"/>
      <c r="O14" s="17"/>
      <c r="P14" s="17"/>
      <c r="Q14" s="17"/>
      <c r="R14" s="15"/>
    </row>
    <row r="15" spans="2:18">
      <c r="B15" s="19">
        <v>10</v>
      </c>
      <c r="C15" s="54"/>
      <c r="D15" s="10">
        <v>43266</v>
      </c>
      <c r="E15" s="11">
        <f t="shared" si="0"/>
        <v>950000</v>
      </c>
      <c r="F15" s="9">
        <v>0</v>
      </c>
      <c r="G15" s="24">
        <f t="shared" si="2"/>
        <v>950000</v>
      </c>
      <c r="H15" s="24">
        <f t="shared" ref="H15:H16" si="4">H12+15000000</f>
        <v>95000000</v>
      </c>
      <c r="I15" s="24"/>
      <c r="J15" s="24"/>
      <c r="K15" s="24"/>
      <c r="L15" s="26">
        <f>E15</f>
        <v>950000</v>
      </c>
      <c r="M15" s="34"/>
      <c r="N15" s="41"/>
      <c r="O15" s="17"/>
      <c r="P15" s="17"/>
      <c r="Q15" s="17"/>
      <c r="R15" s="15"/>
    </row>
    <row r="16" spans="2:18">
      <c r="B16" s="19">
        <v>11</v>
      </c>
      <c r="C16" s="54"/>
      <c r="D16" s="10">
        <v>43296</v>
      </c>
      <c r="E16" s="11">
        <f t="shared" si="0"/>
        <v>950000</v>
      </c>
      <c r="F16" s="9">
        <v>0</v>
      </c>
      <c r="G16" s="24">
        <f t="shared" si="2"/>
        <v>950000</v>
      </c>
      <c r="H16" s="24">
        <f t="shared" si="4"/>
        <v>95000000</v>
      </c>
      <c r="I16" s="24"/>
      <c r="J16" s="24"/>
      <c r="K16" s="24"/>
      <c r="L16" s="26">
        <f>E16</f>
        <v>950000</v>
      </c>
      <c r="M16" s="34"/>
      <c r="N16" s="41"/>
      <c r="O16" s="17"/>
      <c r="P16" s="17"/>
      <c r="Q16" s="17"/>
      <c r="R16" s="15"/>
    </row>
    <row r="17" spans="2:21">
      <c r="B17" s="19">
        <v>12</v>
      </c>
      <c r="C17" s="54"/>
      <c r="D17" s="37">
        <v>43327</v>
      </c>
      <c r="E17" s="11">
        <f t="shared" si="0"/>
        <v>950000</v>
      </c>
      <c r="F17" s="9">
        <v>0</v>
      </c>
      <c r="G17" s="24">
        <f t="shared" si="2"/>
        <v>950000</v>
      </c>
      <c r="H17" s="45">
        <f>H14+4000000</f>
        <v>99000000</v>
      </c>
      <c r="I17" s="27">
        <v>-4000000</v>
      </c>
      <c r="J17" s="45">
        <f>-I17*15%</f>
        <v>600000</v>
      </c>
      <c r="K17" s="45">
        <f>-I17*4%</f>
        <v>160000</v>
      </c>
      <c r="L17" s="26">
        <f>E17+I17+J17+K17</f>
        <v>-2290000</v>
      </c>
      <c r="M17" s="34"/>
      <c r="T17" s="4"/>
      <c r="U17" s="4"/>
    </row>
    <row r="18" spans="2:21">
      <c r="B18" s="19">
        <v>13</v>
      </c>
      <c r="C18" s="55" t="s">
        <v>14</v>
      </c>
      <c r="D18" s="10">
        <v>43358</v>
      </c>
      <c r="E18" s="11">
        <f>PMT($O$11/12,36,-O4,0,0)</f>
        <v>2973568.1841962477</v>
      </c>
      <c r="F18" s="9">
        <f>E18-G18</f>
        <v>2549105.6841962477</v>
      </c>
      <c r="G18" s="28">
        <f>H17*$O$11/12</f>
        <v>424462.5</v>
      </c>
      <c r="H18" s="28">
        <f>H17-F18</f>
        <v>96450894.315803751</v>
      </c>
      <c r="I18" s="28"/>
      <c r="J18" s="28"/>
      <c r="K18" s="28"/>
      <c r="L18" s="26">
        <f>E18</f>
        <v>2973568.1841962477</v>
      </c>
      <c r="M18" s="34"/>
      <c r="O18" s="4"/>
      <c r="P18" s="4"/>
      <c r="T18" s="4"/>
      <c r="U18" s="4"/>
    </row>
    <row r="19" spans="2:21" ht="15" customHeight="1">
      <c r="B19" s="19">
        <v>14</v>
      </c>
      <c r="C19" s="55"/>
      <c r="D19" s="10">
        <v>43388</v>
      </c>
      <c r="E19" s="11">
        <f>E18</f>
        <v>2973568.1841962477</v>
      </c>
      <c r="F19" s="9">
        <f t="shared" ref="F19:F53" si="5">E19-G19</f>
        <v>2560034.9748172392</v>
      </c>
      <c r="G19" s="28">
        <f t="shared" ref="G19:G53" si="6">H18*$O$11/12</f>
        <v>413533.20937900856</v>
      </c>
      <c r="H19" s="28">
        <f t="shared" ref="H19:H53" si="7">H18-F19</f>
        <v>93890859.340986505</v>
      </c>
      <c r="I19" s="28"/>
      <c r="J19" s="28"/>
      <c r="K19" s="28"/>
      <c r="L19" s="26">
        <f t="shared" ref="L19:L48" si="8">E19</f>
        <v>2973568.1841962477</v>
      </c>
      <c r="M19" s="34"/>
      <c r="N19" s="42"/>
      <c r="T19" s="4"/>
      <c r="U19" s="4"/>
    </row>
    <row r="20" spans="2:21" ht="15" customHeight="1">
      <c r="B20" s="19">
        <v>15</v>
      </c>
      <c r="C20" s="55"/>
      <c r="D20" s="10">
        <v>43419</v>
      </c>
      <c r="E20" s="11">
        <f t="shared" ref="E20:E53" si="9">E19</f>
        <v>2973568.1841962477</v>
      </c>
      <c r="F20" s="9">
        <f t="shared" si="5"/>
        <v>2571011.1247717682</v>
      </c>
      <c r="G20" s="28">
        <f t="shared" si="6"/>
        <v>402557.05942447967</v>
      </c>
      <c r="H20" s="28">
        <f t="shared" si="7"/>
        <v>91319848.216214731</v>
      </c>
      <c r="I20" s="28"/>
      <c r="J20" s="28"/>
      <c r="K20" s="28"/>
      <c r="L20" s="26">
        <f t="shared" si="8"/>
        <v>2973568.1841962477</v>
      </c>
      <c r="M20" s="34"/>
      <c r="T20" s="4"/>
      <c r="U20" s="4"/>
    </row>
    <row r="21" spans="2:21" ht="15" customHeight="1">
      <c r="B21" s="19">
        <v>16</v>
      </c>
      <c r="C21" s="55"/>
      <c r="D21" s="10">
        <v>43449</v>
      </c>
      <c r="E21" s="11">
        <f t="shared" si="9"/>
        <v>2973568.1841962477</v>
      </c>
      <c r="F21" s="9">
        <f t="shared" si="5"/>
        <v>2582034.3349692272</v>
      </c>
      <c r="G21" s="28">
        <f t="shared" si="6"/>
        <v>391533.84922702069</v>
      </c>
      <c r="H21" s="28">
        <f t="shared" si="7"/>
        <v>88737813.881245509</v>
      </c>
      <c r="I21" s="28"/>
      <c r="J21" s="28"/>
      <c r="K21" s="28"/>
      <c r="L21" s="26">
        <f t="shared" si="8"/>
        <v>2973568.1841962477</v>
      </c>
      <c r="M21" s="34"/>
    </row>
    <row r="22" spans="2:21" ht="15" customHeight="1">
      <c r="B22" s="19">
        <v>17</v>
      </c>
      <c r="C22" s="55"/>
      <c r="D22" s="10">
        <v>43480</v>
      </c>
      <c r="E22" s="11">
        <f t="shared" si="9"/>
        <v>2973568.1841962477</v>
      </c>
      <c r="F22" s="9">
        <f t="shared" si="5"/>
        <v>2593104.8071804075</v>
      </c>
      <c r="G22" s="28">
        <f t="shared" si="6"/>
        <v>380463.37701584009</v>
      </c>
      <c r="H22" s="28">
        <f t="shared" si="7"/>
        <v>86144709.074065104</v>
      </c>
      <c r="I22" s="28"/>
      <c r="J22" s="28"/>
      <c r="K22" s="28"/>
      <c r="L22" s="26">
        <f t="shared" si="8"/>
        <v>2973568.1841962477</v>
      </c>
      <c r="M22" s="34"/>
      <c r="N22" s="42"/>
      <c r="O22" s="5"/>
      <c r="P22" s="4"/>
      <c r="R22" s="4"/>
    </row>
    <row r="23" spans="2:21" ht="15" customHeight="1">
      <c r="B23" s="19">
        <v>18</v>
      </c>
      <c r="C23" s="55"/>
      <c r="D23" s="10">
        <v>43511</v>
      </c>
      <c r="E23" s="11">
        <f t="shared" si="9"/>
        <v>2973568.1841962477</v>
      </c>
      <c r="F23" s="9">
        <f t="shared" si="5"/>
        <v>2604222.7440411937</v>
      </c>
      <c r="G23" s="28">
        <f t="shared" si="6"/>
        <v>369345.44015505415</v>
      </c>
      <c r="H23" s="28">
        <f t="shared" si="7"/>
        <v>83540486.330023915</v>
      </c>
      <c r="I23" s="28"/>
      <c r="J23" s="28"/>
      <c r="K23" s="28"/>
      <c r="L23" s="26">
        <f t="shared" si="8"/>
        <v>2973568.1841962477</v>
      </c>
      <c r="M23" s="34"/>
      <c r="N23" s="42"/>
    </row>
    <row r="24" spans="2:21" ht="15" customHeight="1">
      <c r="B24" s="19">
        <v>19</v>
      </c>
      <c r="C24" s="55"/>
      <c r="D24" s="10">
        <v>43539</v>
      </c>
      <c r="E24" s="11">
        <f t="shared" si="9"/>
        <v>2973568.1841962477</v>
      </c>
      <c r="F24" s="9">
        <f t="shared" si="5"/>
        <v>2615388.34905627</v>
      </c>
      <c r="G24" s="28">
        <f t="shared" si="6"/>
        <v>358179.83513997757</v>
      </c>
      <c r="H24" s="28">
        <f t="shared" si="7"/>
        <v>80925097.980967641</v>
      </c>
      <c r="I24" s="28"/>
      <c r="J24" s="28"/>
      <c r="K24" s="28"/>
      <c r="L24" s="26">
        <f t="shared" si="8"/>
        <v>2973568.1841962477</v>
      </c>
      <c r="M24" s="34"/>
      <c r="S24" s="4">
        <f>P14+P15+P16</f>
        <v>0</v>
      </c>
    </row>
    <row r="25" spans="2:21" ht="15" customHeight="1">
      <c r="B25" s="19">
        <v>20</v>
      </c>
      <c r="C25" s="55"/>
      <c r="D25" s="10">
        <v>43570</v>
      </c>
      <c r="E25" s="11">
        <f t="shared" si="9"/>
        <v>2973568.1841962477</v>
      </c>
      <c r="F25" s="9">
        <f t="shared" si="5"/>
        <v>2626601.8266028492</v>
      </c>
      <c r="G25" s="28">
        <f t="shared" si="6"/>
        <v>346966.35759339877</v>
      </c>
      <c r="H25" s="28">
        <f t="shared" si="7"/>
        <v>78298496.154364794</v>
      </c>
      <c r="I25" s="28"/>
      <c r="J25" s="28"/>
      <c r="K25" s="28"/>
      <c r="L25" s="26">
        <f t="shared" si="8"/>
        <v>2973568.1841962477</v>
      </c>
      <c r="M25" s="34"/>
    </row>
    <row r="26" spans="2:21" ht="15" customHeight="1">
      <c r="B26" s="19">
        <v>21</v>
      </c>
      <c r="C26" s="55"/>
      <c r="D26" s="10">
        <v>43600</v>
      </c>
      <c r="E26" s="11">
        <f t="shared" si="9"/>
        <v>2973568.1841962477</v>
      </c>
      <c r="F26" s="9">
        <f t="shared" si="5"/>
        <v>2637863.3819344086</v>
      </c>
      <c r="G26" s="28">
        <f t="shared" si="6"/>
        <v>335704.8022618391</v>
      </c>
      <c r="H26" s="28">
        <f t="shared" si="7"/>
        <v>75660632.77243039</v>
      </c>
      <c r="I26" s="28"/>
      <c r="J26" s="28"/>
      <c r="K26" s="28"/>
      <c r="L26" s="26">
        <f t="shared" si="8"/>
        <v>2973568.1841962477</v>
      </c>
      <c r="M26" s="34"/>
      <c r="N26" s="43"/>
    </row>
    <row r="27" spans="2:21" ht="15" customHeight="1">
      <c r="B27" s="19">
        <v>22</v>
      </c>
      <c r="C27" s="55"/>
      <c r="D27" s="10">
        <v>43631</v>
      </c>
      <c r="E27" s="11">
        <f t="shared" si="9"/>
        <v>2973568.1841962477</v>
      </c>
      <c r="F27" s="9">
        <f t="shared" si="5"/>
        <v>2649173.2211844525</v>
      </c>
      <c r="G27" s="28">
        <f t="shared" si="6"/>
        <v>324394.96301179531</v>
      </c>
      <c r="H27" s="28">
        <f t="shared" si="7"/>
        <v>73011459.551245943</v>
      </c>
      <c r="I27" s="28"/>
      <c r="J27" s="28"/>
      <c r="K27" s="28"/>
      <c r="L27" s="26">
        <f t="shared" si="8"/>
        <v>2973568.1841962477</v>
      </c>
      <c r="M27" s="34"/>
    </row>
    <row r="28" spans="2:21" ht="15" customHeight="1">
      <c r="B28" s="19">
        <v>23</v>
      </c>
      <c r="C28" s="55"/>
      <c r="D28" s="10">
        <v>43661</v>
      </c>
      <c r="E28" s="11">
        <f t="shared" si="9"/>
        <v>2973568.1841962477</v>
      </c>
      <c r="F28" s="9">
        <f t="shared" si="5"/>
        <v>2660531.5513702808</v>
      </c>
      <c r="G28" s="28">
        <f t="shared" si="6"/>
        <v>313036.63282596698</v>
      </c>
      <c r="H28" s="28">
        <f t="shared" si="7"/>
        <v>70350927.999875665</v>
      </c>
      <c r="I28" s="28"/>
      <c r="J28" s="28"/>
      <c r="K28" s="28"/>
      <c r="L28" s="26">
        <f t="shared" si="8"/>
        <v>2973568.1841962477</v>
      </c>
      <c r="M28" s="34"/>
    </row>
    <row r="29" spans="2:21" ht="15" customHeight="1">
      <c r="B29" s="19">
        <v>24</v>
      </c>
      <c r="C29" s="55"/>
      <c r="D29" s="10">
        <v>43692</v>
      </c>
      <c r="E29" s="11">
        <f t="shared" si="9"/>
        <v>2973568.1841962477</v>
      </c>
      <c r="F29" s="9">
        <f t="shared" si="5"/>
        <v>2671938.5803967807</v>
      </c>
      <c r="G29" s="28">
        <f t="shared" si="6"/>
        <v>301629.60379946692</v>
      </c>
      <c r="H29" s="28">
        <f t="shared" si="7"/>
        <v>67678989.419478878</v>
      </c>
      <c r="I29" s="28"/>
      <c r="J29" s="28"/>
      <c r="K29" s="28"/>
      <c r="L29" s="26">
        <f t="shared" si="8"/>
        <v>2973568.1841962477</v>
      </c>
      <c r="M29" s="34"/>
    </row>
    <row r="30" spans="2:21" ht="15" customHeight="1">
      <c r="B30" s="19">
        <v>25</v>
      </c>
      <c r="C30" s="55"/>
      <c r="D30" s="10">
        <v>43723</v>
      </c>
      <c r="E30" s="11">
        <f t="shared" si="9"/>
        <v>2973568.1841962477</v>
      </c>
      <c r="F30" s="9">
        <f t="shared" si="5"/>
        <v>2683394.5170602319</v>
      </c>
      <c r="G30" s="28">
        <f t="shared" si="6"/>
        <v>290173.66713601572</v>
      </c>
      <c r="H30" s="28">
        <f t="shared" si="7"/>
        <v>64995594.902418643</v>
      </c>
      <c r="I30" s="28"/>
      <c r="J30" s="28"/>
      <c r="K30" s="28"/>
      <c r="L30" s="26">
        <f t="shared" si="8"/>
        <v>2973568.1841962477</v>
      </c>
      <c r="M30" s="34"/>
    </row>
    <row r="31" spans="2:21" ht="15" customHeight="1">
      <c r="B31" s="19">
        <v>26</v>
      </c>
      <c r="C31" s="55"/>
      <c r="D31" s="10">
        <v>43753</v>
      </c>
      <c r="E31" s="11">
        <f t="shared" si="9"/>
        <v>2973568.1841962477</v>
      </c>
      <c r="F31" s="9">
        <f t="shared" si="5"/>
        <v>2694899.571052128</v>
      </c>
      <c r="G31" s="28">
        <f t="shared" si="6"/>
        <v>278668.61314411991</v>
      </c>
      <c r="H31" s="28">
        <f t="shared" si="7"/>
        <v>62300695.331366517</v>
      </c>
      <c r="I31" s="28"/>
      <c r="J31" s="28"/>
      <c r="K31" s="28"/>
      <c r="L31" s="26">
        <f t="shared" si="8"/>
        <v>2973568.1841962477</v>
      </c>
      <c r="M31" s="34"/>
    </row>
    <row r="32" spans="2:21" ht="15" customHeight="1">
      <c r="B32" s="19">
        <v>27</v>
      </c>
      <c r="C32" s="55"/>
      <c r="D32" s="10">
        <v>43784</v>
      </c>
      <c r="E32" s="11">
        <f t="shared" si="9"/>
        <v>2973568.1841962477</v>
      </c>
      <c r="F32" s="9">
        <f t="shared" si="5"/>
        <v>2706453.9529630137</v>
      </c>
      <c r="G32" s="28">
        <f t="shared" si="6"/>
        <v>267114.23123323394</v>
      </c>
      <c r="H32" s="28">
        <f t="shared" si="7"/>
        <v>59594241.3784035</v>
      </c>
      <c r="I32" s="28"/>
      <c r="J32" s="28"/>
      <c r="K32" s="28"/>
      <c r="L32" s="26">
        <f t="shared" si="8"/>
        <v>2973568.1841962477</v>
      </c>
      <c r="M32" s="34"/>
    </row>
    <row r="33" spans="2:16" ht="15" customHeight="1">
      <c r="B33" s="19">
        <v>28</v>
      </c>
      <c r="C33" s="55"/>
      <c r="D33" s="10">
        <v>43814</v>
      </c>
      <c r="E33" s="11">
        <f t="shared" si="9"/>
        <v>2973568.1841962477</v>
      </c>
      <c r="F33" s="9">
        <f t="shared" si="5"/>
        <v>2718057.8742863429</v>
      </c>
      <c r="G33" s="28">
        <f t="shared" si="6"/>
        <v>255510.30990990505</v>
      </c>
      <c r="H33" s="28">
        <f t="shared" si="7"/>
        <v>56876183.504117154</v>
      </c>
      <c r="I33" s="28"/>
      <c r="J33" s="28"/>
      <c r="K33" s="28"/>
      <c r="L33" s="26">
        <f t="shared" si="8"/>
        <v>2973568.1841962477</v>
      </c>
      <c r="M33" s="34"/>
    </row>
    <row r="34" spans="2:16" ht="15" customHeight="1">
      <c r="B34" s="19">
        <v>29</v>
      </c>
      <c r="C34" s="55"/>
      <c r="D34" s="10">
        <v>43845</v>
      </c>
      <c r="E34" s="11">
        <f t="shared" si="9"/>
        <v>2973568.1841962477</v>
      </c>
      <c r="F34" s="9">
        <f t="shared" si="5"/>
        <v>2729711.5474223453</v>
      </c>
      <c r="G34" s="28">
        <f t="shared" si="6"/>
        <v>243856.63677390231</v>
      </c>
      <c r="H34" s="28">
        <f t="shared" si="7"/>
        <v>54146471.956694812</v>
      </c>
      <c r="I34" s="28"/>
      <c r="J34" s="28"/>
      <c r="K34" s="28"/>
      <c r="L34" s="26">
        <f t="shared" si="8"/>
        <v>2973568.1841962477</v>
      </c>
      <c r="M34" s="34"/>
    </row>
    <row r="35" spans="2:16" ht="15" customHeight="1">
      <c r="B35" s="19">
        <v>30</v>
      </c>
      <c r="C35" s="55"/>
      <c r="D35" s="10">
        <v>43876</v>
      </c>
      <c r="E35" s="11">
        <f t="shared" si="9"/>
        <v>2973568.1841962477</v>
      </c>
      <c r="F35" s="9">
        <f t="shared" si="5"/>
        <v>2741415.1856819186</v>
      </c>
      <c r="G35" s="28">
        <f t="shared" si="6"/>
        <v>232152.998514329</v>
      </c>
      <c r="H35" s="28">
        <f t="shared" si="7"/>
        <v>51405056.771012895</v>
      </c>
      <c r="I35" s="28"/>
      <c r="J35" s="28"/>
      <c r="K35" s="28"/>
      <c r="L35" s="26">
        <f t="shared" si="8"/>
        <v>2973568.1841962477</v>
      </c>
      <c r="M35" s="34"/>
      <c r="P35" s="4"/>
    </row>
    <row r="36" spans="2:16" ht="15" customHeight="1">
      <c r="B36" s="19">
        <v>31</v>
      </c>
      <c r="C36" s="55"/>
      <c r="D36" s="10">
        <v>43905</v>
      </c>
      <c r="E36" s="11">
        <f t="shared" si="9"/>
        <v>2973568.1841962477</v>
      </c>
      <c r="F36" s="9">
        <f t="shared" si="5"/>
        <v>2753169.0032905298</v>
      </c>
      <c r="G36" s="28">
        <f t="shared" si="6"/>
        <v>220399.1809057178</v>
      </c>
      <c r="H36" s="28">
        <f t="shared" si="7"/>
        <v>48651887.767722368</v>
      </c>
      <c r="I36" s="28"/>
      <c r="J36" s="28"/>
      <c r="K36" s="28"/>
      <c r="L36" s="26">
        <f t="shared" si="8"/>
        <v>2973568.1841962477</v>
      </c>
      <c r="M36" s="34"/>
      <c r="P36" s="4"/>
    </row>
    <row r="37" spans="2:16" ht="15" customHeight="1">
      <c r="B37" s="19">
        <v>32</v>
      </c>
      <c r="C37" s="55"/>
      <c r="D37" s="10">
        <v>43936</v>
      </c>
      <c r="E37" s="11">
        <f t="shared" si="9"/>
        <v>2973568.1841962477</v>
      </c>
      <c r="F37" s="9">
        <f t="shared" si="5"/>
        <v>2764973.2153921379</v>
      </c>
      <c r="G37" s="28">
        <f t="shared" si="6"/>
        <v>208594.96880410964</v>
      </c>
      <c r="H37" s="28">
        <f t="shared" si="7"/>
        <v>45886914.552330233</v>
      </c>
      <c r="I37" s="28"/>
      <c r="J37" s="28"/>
      <c r="K37" s="28"/>
      <c r="L37" s="26">
        <f t="shared" si="8"/>
        <v>2973568.1841962477</v>
      </c>
      <c r="M37" s="34"/>
      <c r="P37" s="4"/>
    </row>
    <row r="38" spans="2:16" ht="15" customHeight="1">
      <c r="B38" s="19">
        <v>33</v>
      </c>
      <c r="C38" s="55"/>
      <c r="D38" s="10">
        <v>43966</v>
      </c>
      <c r="E38" s="11">
        <f t="shared" si="9"/>
        <v>2973568.1841962477</v>
      </c>
      <c r="F38" s="9">
        <f t="shared" si="5"/>
        <v>2776828.0380531317</v>
      </c>
      <c r="G38" s="28">
        <f t="shared" si="6"/>
        <v>196740.14614311591</v>
      </c>
      <c r="H38" s="28">
        <f t="shared" si="7"/>
        <v>43110086.514277101</v>
      </c>
      <c r="I38" s="28"/>
      <c r="J38" s="28"/>
      <c r="K38" s="28"/>
      <c r="L38" s="26">
        <f t="shared" si="8"/>
        <v>2973568.1841962477</v>
      </c>
      <c r="M38" s="34"/>
      <c r="P38" s="4"/>
    </row>
    <row r="39" spans="2:16" ht="15" customHeight="1">
      <c r="B39" s="19">
        <v>34</v>
      </c>
      <c r="C39" s="55"/>
      <c r="D39" s="10">
        <v>43997</v>
      </c>
      <c r="E39" s="11">
        <f t="shared" si="9"/>
        <v>2973568.1841962477</v>
      </c>
      <c r="F39" s="9">
        <f t="shared" si="5"/>
        <v>2788733.6882662848</v>
      </c>
      <c r="G39" s="28">
        <f t="shared" si="6"/>
        <v>184834.49592996307</v>
      </c>
      <c r="H39" s="28">
        <f t="shared" si="7"/>
        <v>40321352.826010816</v>
      </c>
      <c r="I39" s="28"/>
      <c r="J39" s="28"/>
      <c r="K39" s="28"/>
      <c r="L39" s="26">
        <f t="shared" si="8"/>
        <v>2973568.1841962477</v>
      </c>
      <c r="M39" s="34"/>
      <c r="P39" s="4"/>
    </row>
    <row r="40" spans="2:16" ht="15" customHeight="1">
      <c r="B40" s="19">
        <v>35</v>
      </c>
      <c r="C40" s="55"/>
      <c r="D40" s="10">
        <v>44027</v>
      </c>
      <c r="E40" s="11">
        <f t="shared" si="9"/>
        <v>2973568.1841962477</v>
      </c>
      <c r="F40" s="9">
        <f t="shared" si="5"/>
        <v>2800690.3839547262</v>
      </c>
      <c r="G40" s="28">
        <f t="shared" si="6"/>
        <v>172877.80024152139</v>
      </c>
      <c r="H40" s="28">
        <f t="shared" si="7"/>
        <v>37520662.44205609</v>
      </c>
      <c r="I40" s="28"/>
      <c r="J40" s="28"/>
      <c r="K40" s="28"/>
      <c r="L40" s="26">
        <f t="shared" si="8"/>
        <v>2973568.1841962477</v>
      </c>
      <c r="M40" s="34"/>
    </row>
    <row r="41" spans="2:16" ht="15" customHeight="1">
      <c r="B41" s="19">
        <v>36</v>
      </c>
      <c r="C41" s="55"/>
      <c r="D41" s="10">
        <v>44058</v>
      </c>
      <c r="E41" s="11">
        <f t="shared" si="9"/>
        <v>2973568.1841962477</v>
      </c>
      <c r="F41" s="9">
        <f t="shared" si="5"/>
        <v>2812698.3439759323</v>
      </c>
      <c r="G41" s="28">
        <f t="shared" si="6"/>
        <v>160869.8402203155</v>
      </c>
      <c r="H41" s="28">
        <f t="shared" si="7"/>
        <v>34707964.098080158</v>
      </c>
      <c r="I41" s="28"/>
      <c r="J41" s="28"/>
      <c r="K41" s="28"/>
      <c r="L41" s="26">
        <f t="shared" si="8"/>
        <v>2973568.1841962477</v>
      </c>
      <c r="M41" s="34"/>
    </row>
    <row r="42" spans="2:16" ht="15" customHeight="1">
      <c r="B42" s="19">
        <v>37</v>
      </c>
      <c r="C42" s="55"/>
      <c r="D42" s="10">
        <v>44089</v>
      </c>
      <c r="E42" s="11">
        <f t="shared" si="9"/>
        <v>2973568.1841962477</v>
      </c>
      <c r="F42" s="9">
        <f t="shared" si="5"/>
        <v>2824757.7881257292</v>
      </c>
      <c r="G42" s="28">
        <f t="shared" si="6"/>
        <v>148810.39607051868</v>
      </c>
      <c r="H42" s="28">
        <f t="shared" si="7"/>
        <v>31883206.309954427</v>
      </c>
      <c r="I42" s="28"/>
      <c r="J42" s="28"/>
      <c r="K42" s="28"/>
      <c r="L42" s="26">
        <f t="shared" si="8"/>
        <v>2973568.1841962477</v>
      </c>
      <c r="M42" s="34"/>
    </row>
    <row r="43" spans="2:16" ht="15" customHeight="1">
      <c r="B43" s="19">
        <v>38</v>
      </c>
      <c r="C43" s="55"/>
      <c r="D43" s="10">
        <v>44119</v>
      </c>
      <c r="E43" s="11">
        <f t="shared" si="9"/>
        <v>2973568.1841962477</v>
      </c>
      <c r="F43" s="9">
        <f t="shared" si="5"/>
        <v>2836868.9371423181</v>
      </c>
      <c r="G43" s="28">
        <f t="shared" si="6"/>
        <v>136699.2470539296</v>
      </c>
      <c r="H43" s="28">
        <f t="shared" si="7"/>
        <v>29046337.372812107</v>
      </c>
      <c r="I43" s="28"/>
      <c r="J43" s="28"/>
      <c r="K43" s="28"/>
      <c r="L43" s="26">
        <f t="shared" si="8"/>
        <v>2973568.1841962477</v>
      </c>
      <c r="M43" s="34"/>
    </row>
    <row r="44" spans="2:16" ht="13.5" customHeight="1">
      <c r="B44" s="19">
        <v>39</v>
      </c>
      <c r="C44" s="55"/>
      <c r="D44" s="10">
        <v>44150</v>
      </c>
      <c r="E44" s="11">
        <f t="shared" si="9"/>
        <v>2973568.1841962477</v>
      </c>
      <c r="F44" s="9">
        <f t="shared" si="5"/>
        <v>2849032.0127103156</v>
      </c>
      <c r="G44" s="28">
        <f t="shared" si="6"/>
        <v>124536.17148593192</v>
      </c>
      <c r="H44" s="28">
        <f t="shared" si="7"/>
        <v>26197305.360101793</v>
      </c>
      <c r="I44" s="28"/>
      <c r="J44" s="28"/>
      <c r="K44" s="28"/>
      <c r="L44" s="26">
        <f t="shared" si="8"/>
        <v>2973568.1841962477</v>
      </c>
      <c r="M44" s="34"/>
      <c r="O44" s="18" t="s">
        <v>15</v>
      </c>
      <c r="P44" s="18"/>
    </row>
    <row r="45" spans="2:16" ht="15" customHeight="1">
      <c r="B45" s="19">
        <v>40</v>
      </c>
      <c r="C45" s="55"/>
      <c r="D45" s="10">
        <v>44180</v>
      </c>
      <c r="E45" s="11">
        <f t="shared" si="9"/>
        <v>2973568.1841962477</v>
      </c>
      <c r="F45" s="9">
        <f t="shared" si="5"/>
        <v>2861247.2374648112</v>
      </c>
      <c r="G45" s="28">
        <f t="shared" si="6"/>
        <v>112320.94673143643</v>
      </c>
      <c r="H45" s="28">
        <f t="shared" si="7"/>
        <v>23336058.122636981</v>
      </c>
      <c r="I45" s="28"/>
      <c r="J45" s="28"/>
      <c r="K45" s="28"/>
      <c r="L45" s="26">
        <f t="shared" si="8"/>
        <v>2973568.1841962477</v>
      </c>
      <c r="M45" s="34"/>
      <c r="O45" s="18"/>
      <c r="P45" s="18"/>
    </row>
    <row r="46" spans="2:16" ht="15" customHeight="1">
      <c r="B46" s="19">
        <v>41</v>
      </c>
      <c r="C46" s="55"/>
      <c r="D46" s="10">
        <v>44211</v>
      </c>
      <c r="E46" s="11">
        <f t="shared" si="9"/>
        <v>2973568.1841962477</v>
      </c>
      <c r="F46" s="9">
        <f t="shared" si="5"/>
        <v>2873514.8349954416</v>
      </c>
      <c r="G46" s="28">
        <f t="shared" si="6"/>
        <v>100053.34920080606</v>
      </c>
      <c r="H46" s="28">
        <f t="shared" si="7"/>
        <v>20462543.28764154</v>
      </c>
      <c r="I46" s="28"/>
      <c r="J46" s="28"/>
      <c r="K46" s="28"/>
      <c r="L46" s="26">
        <f t="shared" si="8"/>
        <v>2973568.1841962477</v>
      </c>
      <c r="M46" s="34"/>
      <c r="O46" s="18"/>
      <c r="P46" s="18"/>
    </row>
    <row r="47" spans="2:16" ht="15" customHeight="1">
      <c r="B47" s="19">
        <v>42</v>
      </c>
      <c r="C47" s="55"/>
      <c r="D47" s="10">
        <v>44242</v>
      </c>
      <c r="E47" s="11">
        <f t="shared" si="9"/>
        <v>2973568.1841962477</v>
      </c>
      <c r="F47" s="9">
        <f t="shared" si="5"/>
        <v>2885835.0298504848</v>
      </c>
      <c r="G47" s="28">
        <f t="shared" si="6"/>
        <v>87733.154345763105</v>
      </c>
      <c r="H47" s="28">
        <f t="shared" si="7"/>
        <v>17576708.257791057</v>
      </c>
      <c r="I47" s="28"/>
      <c r="J47" s="28"/>
      <c r="K47" s="28"/>
      <c r="L47" s="26">
        <f t="shared" si="8"/>
        <v>2973568.1841962477</v>
      </c>
      <c r="M47" s="34"/>
      <c r="O47" s="18"/>
      <c r="P47" s="18"/>
    </row>
    <row r="48" spans="2:16" ht="15" customHeight="1">
      <c r="B48" s="19">
        <v>43</v>
      </c>
      <c r="C48" s="55"/>
      <c r="D48" s="10">
        <v>44270</v>
      </c>
      <c r="E48" s="11">
        <f t="shared" si="9"/>
        <v>2973568.1841962477</v>
      </c>
      <c r="F48" s="9">
        <f t="shared" si="5"/>
        <v>2898208.0475409687</v>
      </c>
      <c r="G48" s="28">
        <f t="shared" si="6"/>
        <v>75360.136655279159</v>
      </c>
      <c r="H48" s="28">
        <f t="shared" si="7"/>
        <v>14678500.210250089</v>
      </c>
      <c r="I48" s="28"/>
      <c r="J48" s="28"/>
      <c r="K48" s="28"/>
      <c r="L48" s="26">
        <f t="shared" si="8"/>
        <v>2973568.1841962477</v>
      </c>
      <c r="M48" s="34"/>
      <c r="O48" s="18"/>
      <c r="P48" s="18"/>
    </row>
    <row r="49" spans="1:17" ht="15" customHeight="1">
      <c r="B49" s="19">
        <v>44</v>
      </c>
      <c r="C49" s="55"/>
      <c r="D49" s="10">
        <v>44301</v>
      </c>
      <c r="E49" s="11">
        <f t="shared" si="9"/>
        <v>2973568.1841962477</v>
      </c>
      <c r="F49" s="9">
        <f t="shared" si="5"/>
        <v>2910634.1145448005</v>
      </c>
      <c r="G49" s="28">
        <f t="shared" si="6"/>
        <v>62934.069651447258</v>
      </c>
      <c r="H49" s="28">
        <f t="shared" si="7"/>
        <v>11767866.095705289</v>
      </c>
      <c r="I49" s="28"/>
      <c r="J49" s="28"/>
      <c r="K49" s="28"/>
      <c r="L49" s="51">
        <v>17840.919999999998</v>
      </c>
      <c r="M49" s="34" t="s">
        <v>24</v>
      </c>
      <c r="O49" s="18"/>
      <c r="P49" s="18"/>
    </row>
    <row r="50" spans="1:17" ht="15" customHeight="1">
      <c r="B50" s="19">
        <v>45</v>
      </c>
      <c r="C50" s="55"/>
      <c r="D50" s="10">
        <v>44331</v>
      </c>
      <c r="E50" s="11">
        <f t="shared" si="9"/>
        <v>2973568.1841962477</v>
      </c>
      <c r="F50" s="9">
        <f t="shared" si="5"/>
        <v>2923113.4583109114</v>
      </c>
      <c r="G50" s="28">
        <f t="shared" si="6"/>
        <v>50454.725885336433</v>
      </c>
      <c r="H50" s="28">
        <f t="shared" si="7"/>
        <v>8844752.637394378</v>
      </c>
      <c r="I50" s="28"/>
      <c r="J50" s="28"/>
      <c r="K50" s="28"/>
      <c r="L50" s="51"/>
      <c r="M50" s="34"/>
      <c r="O50" s="18"/>
      <c r="P50" s="18"/>
    </row>
    <row r="51" spans="1:17" ht="15" customHeight="1">
      <c r="B51" s="19">
        <v>46</v>
      </c>
      <c r="C51" s="55"/>
      <c r="D51" s="10">
        <v>44362</v>
      </c>
      <c r="E51" s="11">
        <f t="shared" si="9"/>
        <v>2973568.1841962477</v>
      </c>
      <c r="F51" s="9">
        <f t="shared" si="5"/>
        <v>2935646.3072634195</v>
      </c>
      <c r="G51" s="28">
        <f t="shared" si="6"/>
        <v>37921.876932828396</v>
      </c>
      <c r="H51" s="28">
        <f t="shared" si="7"/>
        <v>5909106.3301309589</v>
      </c>
      <c r="I51" s="28"/>
      <c r="J51" s="28"/>
      <c r="K51" s="28"/>
      <c r="L51" s="51"/>
      <c r="M51" s="34"/>
      <c r="O51" s="18"/>
      <c r="P51" s="18"/>
    </row>
    <row r="52" spans="1:17" ht="15" customHeight="1">
      <c r="B52" s="19">
        <v>47</v>
      </c>
      <c r="C52" s="55"/>
      <c r="D52" s="10">
        <v>44392</v>
      </c>
      <c r="E52" s="11">
        <f t="shared" si="9"/>
        <v>2973568.1841962477</v>
      </c>
      <c r="F52" s="9">
        <f t="shared" si="5"/>
        <v>2948232.8908058112</v>
      </c>
      <c r="G52" s="28">
        <f t="shared" si="6"/>
        <v>25335.293390436487</v>
      </c>
      <c r="H52" s="28">
        <f t="shared" si="7"/>
        <v>2960873.4393251478</v>
      </c>
      <c r="I52" s="28"/>
      <c r="J52" s="28"/>
      <c r="K52" s="28"/>
      <c r="L52" s="51"/>
      <c r="M52" s="34"/>
      <c r="O52" s="18"/>
      <c r="P52" s="18"/>
    </row>
    <row r="53" spans="1:17" ht="15.95" customHeight="1">
      <c r="B53" s="19">
        <v>48</v>
      </c>
      <c r="C53" s="55"/>
      <c r="D53" s="10">
        <v>44423</v>
      </c>
      <c r="E53" s="11">
        <f t="shared" si="9"/>
        <v>2973568.1841962477</v>
      </c>
      <c r="F53" s="9">
        <f t="shared" si="5"/>
        <v>2960873.4393251413</v>
      </c>
      <c r="G53" s="28">
        <f t="shared" si="6"/>
        <v>12694.744871106572</v>
      </c>
      <c r="H53" s="28">
        <f t="shared" si="7"/>
        <v>6.5192580223083496E-9</v>
      </c>
      <c r="I53" s="28"/>
      <c r="J53" s="28"/>
      <c r="K53" s="28"/>
      <c r="L53" s="51"/>
      <c r="M53" s="34"/>
      <c r="O53" s="18"/>
      <c r="P53" s="18"/>
      <c r="Q53" s="4"/>
    </row>
    <row r="54" spans="1:17">
      <c r="A54" s="29"/>
      <c r="B54" s="29"/>
      <c r="C54" s="58" t="s">
        <v>19</v>
      </c>
      <c r="D54" s="58"/>
      <c r="E54" s="46">
        <f>SUM(E5:E53)</f>
        <v>115598454.63106495</v>
      </c>
      <c r="F54" s="46">
        <f>SUM(F5:F53)</f>
        <v>99000000</v>
      </c>
      <c r="G54" s="46">
        <f t="shared" ref="G54" si="10">SUM(G5:G53)</f>
        <v>16598454.631064914</v>
      </c>
      <c r="H54" s="30"/>
      <c r="I54" s="30"/>
      <c r="J54" s="30"/>
      <c r="K54" s="30"/>
      <c r="L54" s="29"/>
      <c r="O54" s="18"/>
      <c r="P54" s="18"/>
    </row>
    <row r="55" spans="1:17">
      <c r="A55" s="29"/>
      <c r="B55" s="29"/>
      <c r="C55" s="29"/>
      <c r="D55" s="29"/>
      <c r="E55" s="31"/>
      <c r="F55" s="31"/>
      <c r="G55" s="32"/>
      <c r="H55" s="30"/>
      <c r="I55" s="30"/>
      <c r="J55" s="30"/>
      <c r="K55" s="30"/>
      <c r="L55" s="53"/>
      <c r="M55" s="14"/>
      <c r="O55" s="18"/>
      <c r="P55" s="18"/>
    </row>
    <row r="56" spans="1:17">
      <c r="O56" s="18"/>
      <c r="P56" s="18"/>
    </row>
    <row r="57" spans="1:17">
      <c r="L57" s="50"/>
      <c r="N57" s="44"/>
      <c r="O57" s="18"/>
      <c r="P57" s="18"/>
    </row>
    <row r="58" spans="1:17">
      <c r="P58" s="6"/>
    </row>
  </sheetData>
  <mergeCells count="5">
    <mergeCell ref="C5:C17"/>
    <mergeCell ref="C18:C53"/>
    <mergeCell ref="L2:L3"/>
    <mergeCell ref="C54:D54"/>
    <mergeCell ref="B2:K3"/>
  </mergeCells>
  <phoneticPr fontId="19" type="noConversion"/>
  <pageMargins left="0.7" right="0.7" top="0.75" bottom="0.75" header="0.3" footer="0.3"/>
  <pageSetup paperSize="9" orientation="portrait" horizontalDpi="300" verticalDpi="300" r:id="rId1"/>
  <ignoredErrors>
    <ignoredError sqref="L17 L8 L11 L14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还款计划表及IRR测算（建设期12个月）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张艳坤</cp:lastModifiedBy>
  <cp:lastPrinted>2013-07-26T07:16:09Z</cp:lastPrinted>
  <dcterms:created xsi:type="dcterms:W3CDTF">2010-09-26T08:06:31Z</dcterms:created>
  <dcterms:modified xsi:type="dcterms:W3CDTF">2017-10-23T09:15:13Z</dcterms:modified>
</cp:coreProperties>
</file>