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-480" yWindow="195" windowWidth="9345" windowHeight="6225" tabRatio="693"/>
  </bookViews>
  <sheets>
    <sheet name="评审模型" sheetId="6" r:id="rId1"/>
    <sheet name="财务指标" sheetId="3" r:id="rId2"/>
    <sheet name="资产负债表" sheetId="1" r:id="rId3"/>
    <sheet name="利润表" sheetId="2" r:id="rId4"/>
    <sheet name="现金流量表" sheetId="4" r:id="rId5"/>
    <sheet name="指标参数数据库" sheetId="5" r:id="rId6"/>
  </sheets>
  <definedNames>
    <definedName name="_xlnm._FilterDatabase" localSheetId="1" hidden="1">财务指标!$A$1:$I$53</definedName>
    <definedName name="_xlnm.Print_Area" localSheetId="3">利润表!$A$2:$E$22</definedName>
    <definedName name="_xlnm.Print_Area" localSheetId="0">评审模型!$A$1:$G$158</definedName>
    <definedName name="_xlnm.Print_Area" localSheetId="2">资产负债表!$A$2:$F$46</definedName>
  </definedNames>
  <calcPr calcId="162913"/>
</workbook>
</file>

<file path=xl/calcChain.xml><?xml version="1.0" encoding="utf-8"?>
<calcChain xmlns="http://schemas.openxmlformats.org/spreadsheetml/2006/main">
  <c r="E2" i="3" l="1"/>
  <c r="F41" i="4"/>
  <c r="E2" i="4"/>
  <c r="E28" i="3"/>
  <c r="E29" i="3" s="1"/>
  <c r="F28" i="3"/>
  <c r="F29" i="3" s="1"/>
  <c r="E3" i="2"/>
  <c r="D29" i="1"/>
  <c r="D31" i="1" s="1"/>
  <c r="D35" i="1" s="1"/>
  <c r="E29" i="1"/>
  <c r="E31" i="1" s="1"/>
  <c r="E35" i="1" s="1"/>
  <c r="F29" i="1"/>
  <c r="F31" i="1" s="1"/>
  <c r="F35" i="1" s="1"/>
  <c r="E79" i="1"/>
  <c r="E89" i="1" s="1"/>
  <c r="E72" i="1"/>
  <c r="L26" i="3"/>
  <c r="E64" i="1"/>
  <c r="E47" i="1"/>
  <c r="E40" i="1"/>
  <c r="L13" i="3" s="1"/>
  <c r="E25" i="1"/>
  <c r="E21" i="1"/>
  <c r="F2" i="4"/>
  <c r="G3" i="4" s="1"/>
  <c r="F3" i="2"/>
  <c r="F2" i="3" s="1"/>
  <c r="F3" i="3" s="1"/>
  <c r="F79" i="1"/>
  <c r="F89" i="1" s="1"/>
  <c r="F72" i="1"/>
  <c r="M26" i="3"/>
  <c r="F64" i="1"/>
  <c r="F47" i="1"/>
  <c r="F40" i="1"/>
  <c r="M13" i="3"/>
  <c r="F25" i="1"/>
  <c r="M11" i="3" s="1"/>
  <c r="F21" i="1"/>
  <c r="F4" i="1"/>
  <c r="F136" i="6"/>
  <c r="F138" i="6" s="1"/>
  <c r="J35" i="3"/>
  <c r="J6" i="3"/>
  <c r="J55" i="3" s="1"/>
  <c r="C26" i="3" s="1"/>
  <c r="C27" i="3" s="1"/>
  <c r="F7" i="4"/>
  <c r="F20" i="4"/>
  <c r="F25" i="4" s="1"/>
  <c r="M47" i="3" s="1"/>
  <c r="F24" i="4"/>
  <c r="H79" i="1"/>
  <c r="H89" i="1" s="1"/>
  <c r="H72" i="1"/>
  <c r="H64" i="1"/>
  <c r="H47" i="1"/>
  <c r="H40" i="1"/>
  <c r="H29" i="1"/>
  <c r="H31" i="1"/>
  <c r="H35" i="1" s="1"/>
  <c r="H25" i="1"/>
  <c r="H21" i="1"/>
  <c r="H4" i="1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04" i="5"/>
  <c r="E41" i="4"/>
  <c r="E24" i="4"/>
  <c r="E7" i="4"/>
  <c r="D41" i="4"/>
  <c r="D20" i="4"/>
  <c r="E20" i="4"/>
  <c r="C20" i="4"/>
  <c r="E7" i="2"/>
  <c r="E16" i="2" s="1"/>
  <c r="C21" i="1"/>
  <c r="J9" i="3" s="1"/>
  <c r="F37" i="4"/>
  <c r="F38" i="4" s="1"/>
  <c r="M48" i="3" s="1"/>
  <c r="F30" i="4"/>
  <c r="D37" i="4"/>
  <c r="C355" i="5"/>
  <c r="C356" i="5"/>
  <c r="C357" i="5"/>
  <c r="C358" i="5"/>
  <c r="C359" i="5"/>
  <c r="C360" i="5"/>
  <c r="C362" i="5"/>
  <c r="C363" i="5"/>
  <c r="C364" i="5"/>
  <c r="C365" i="5"/>
  <c r="C366" i="5"/>
  <c r="C368" i="5"/>
  <c r="C369" i="5"/>
  <c r="C370" i="5"/>
  <c r="C372" i="5"/>
  <c r="C373" i="5"/>
  <c r="C375" i="5"/>
  <c r="C376" i="5"/>
  <c r="C377" i="5"/>
  <c r="C378" i="5"/>
  <c r="B2" i="2"/>
  <c r="C28" i="3"/>
  <c r="C29" i="3" s="1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29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04" i="5"/>
  <c r="F7" i="2"/>
  <c r="F16" i="2" s="1"/>
  <c r="D7" i="2"/>
  <c r="D16" i="2" s="1"/>
  <c r="C29" i="1"/>
  <c r="C31" i="1" s="1"/>
  <c r="C35" i="1" s="1"/>
  <c r="K35" i="3"/>
  <c r="K6" i="3"/>
  <c r="L35" i="3"/>
  <c r="L6" i="3"/>
  <c r="M35" i="3"/>
  <c r="M6" i="3"/>
  <c r="C7" i="2"/>
  <c r="C16" i="2" s="1"/>
  <c r="C3" i="2"/>
  <c r="D79" i="1"/>
  <c r="D89" i="1" s="1"/>
  <c r="K33" i="3" s="1"/>
  <c r="K51" i="3" s="1"/>
  <c r="C79" i="1"/>
  <c r="C89" i="1" s="1"/>
  <c r="J33" i="3" s="1"/>
  <c r="J51" i="3" s="1"/>
  <c r="C37" i="4"/>
  <c r="C30" i="4"/>
  <c r="C38" i="4" s="1"/>
  <c r="C24" i="4"/>
  <c r="C7" i="4"/>
  <c r="C12" i="4"/>
  <c r="D30" i="4"/>
  <c r="E30" i="4"/>
  <c r="E38" i="4" s="1"/>
  <c r="L48" i="3" s="1"/>
  <c r="D24" i="4"/>
  <c r="D44" i="3" s="1"/>
  <c r="D7" i="4"/>
  <c r="D13" i="4" s="1"/>
  <c r="D12" i="4"/>
  <c r="E37" i="4"/>
  <c r="E12" i="4"/>
  <c r="E43" i="3" s="1"/>
  <c r="G7" i="4"/>
  <c r="B2" i="1"/>
  <c r="M37" i="3"/>
  <c r="L37" i="3"/>
  <c r="C64" i="1"/>
  <c r="C72" i="1"/>
  <c r="J26" i="3" s="1"/>
  <c r="K18" i="3"/>
  <c r="K21" i="3"/>
  <c r="K24" i="3"/>
  <c r="K25" i="3"/>
  <c r="D64" i="1"/>
  <c r="K22" i="3" s="1"/>
  <c r="D72" i="1"/>
  <c r="L18" i="3"/>
  <c r="L21" i="3"/>
  <c r="L24" i="3"/>
  <c r="L25" i="3"/>
  <c r="M18" i="3"/>
  <c r="M21" i="3"/>
  <c r="M24" i="3"/>
  <c r="M25" i="3"/>
  <c r="J18" i="3"/>
  <c r="J21" i="3"/>
  <c r="J24" i="3"/>
  <c r="J25" i="3"/>
  <c r="C254" i="5"/>
  <c r="C255" i="5"/>
  <c r="J41" i="3"/>
  <c r="C25" i="1"/>
  <c r="C40" i="1"/>
  <c r="J13" i="3" s="1"/>
  <c r="K41" i="3"/>
  <c r="D21" i="1"/>
  <c r="D25" i="1"/>
  <c r="K11" i="3" s="1"/>
  <c r="D40" i="1"/>
  <c r="K13" i="3" s="1"/>
  <c r="L41" i="3"/>
  <c r="L9" i="3"/>
  <c r="M41" i="3"/>
  <c r="C256" i="5"/>
  <c r="J37" i="3"/>
  <c r="K37" i="3"/>
  <c r="C257" i="5"/>
  <c r="C258" i="5"/>
  <c r="J39" i="3"/>
  <c r="J40" i="3"/>
  <c r="K39" i="3"/>
  <c r="K40" i="3"/>
  <c r="L39" i="3"/>
  <c r="L40" i="3"/>
  <c r="M39" i="3"/>
  <c r="M40" i="3"/>
  <c r="C259" i="5"/>
  <c r="J31" i="3"/>
  <c r="J30" i="3"/>
  <c r="K31" i="3"/>
  <c r="K30" i="3"/>
  <c r="L31" i="3"/>
  <c r="L30" i="3"/>
  <c r="M31" i="3"/>
  <c r="M30" i="3"/>
  <c r="C260" i="5"/>
  <c r="C261" i="5"/>
  <c r="C262" i="5"/>
  <c r="C263" i="5"/>
  <c r="C264" i="5"/>
  <c r="C265" i="5"/>
  <c r="J8" i="3"/>
  <c r="J54" i="3" s="1"/>
  <c r="K8" i="3"/>
  <c r="L8" i="3"/>
  <c r="M8" i="3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7" i="5"/>
  <c r="C28" i="5"/>
  <c r="C32" i="5"/>
  <c r="C53" i="5"/>
  <c r="C57" i="5"/>
  <c r="C78" i="5"/>
  <c r="C82" i="5"/>
  <c r="C103" i="5"/>
  <c r="C132" i="5"/>
  <c r="C153" i="5"/>
  <c r="C157" i="5"/>
  <c r="C178" i="5"/>
  <c r="C182" i="5"/>
  <c r="C203" i="5"/>
  <c r="C207" i="5"/>
  <c r="C228" i="5"/>
  <c r="C232" i="5"/>
  <c r="C253" i="5"/>
  <c r="C282" i="5"/>
  <c r="C303" i="5"/>
  <c r="C47" i="1"/>
  <c r="D47" i="1"/>
  <c r="D2" i="4"/>
  <c r="C2" i="4"/>
  <c r="D2" i="3"/>
  <c r="C2" i="3"/>
  <c r="D3" i="2"/>
  <c r="J19" i="3"/>
  <c r="J56" i="3" s="1"/>
  <c r="K19" i="3"/>
  <c r="L19" i="3"/>
  <c r="M19" i="3"/>
  <c r="J38" i="3"/>
  <c r="K38" i="3"/>
  <c r="L38" i="3"/>
  <c r="M38" i="3"/>
  <c r="J5" i="3"/>
  <c r="K5" i="3"/>
  <c r="L5" i="3"/>
  <c r="M5" i="3"/>
  <c r="J7" i="3"/>
  <c r="K7" i="3"/>
  <c r="L7" i="3"/>
  <c r="M7" i="3"/>
  <c r="J20" i="3"/>
  <c r="K20" i="3"/>
  <c r="L20" i="3"/>
  <c r="M20" i="3"/>
  <c r="J29" i="3"/>
  <c r="K29" i="3"/>
  <c r="L29" i="3"/>
  <c r="M29" i="3"/>
  <c r="J32" i="3"/>
  <c r="K32" i="3"/>
  <c r="L32" i="3"/>
  <c r="M32" i="3"/>
  <c r="M4" i="3"/>
  <c r="L4" i="3"/>
  <c r="K4" i="3"/>
  <c r="J4" i="3"/>
  <c r="C45" i="3"/>
  <c r="F45" i="3"/>
  <c r="D28" i="3"/>
  <c r="D29" i="3" s="1"/>
  <c r="C230" i="5"/>
  <c r="C231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29" i="5"/>
  <c r="C205" i="5"/>
  <c r="C206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04" i="5"/>
  <c r="C180" i="5"/>
  <c r="C181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179" i="5"/>
  <c r="C155" i="5"/>
  <c r="C156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54" i="5"/>
  <c r="C130" i="5"/>
  <c r="C131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29" i="5"/>
  <c r="C80" i="5"/>
  <c r="C81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79" i="5"/>
  <c r="C55" i="5"/>
  <c r="C56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54" i="5"/>
  <c r="C30" i="5"/>
  <c r="C31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29" i="5"/>
  <c r="C5" i="5"/>
  <c r="C6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4" i="5"/>
  <c r="C280" i="5"/>
  <c r="C281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279" i="5"/>
  <c r="J36" i="3"/>
  <c r="J50" i="3" s="1"/>
  <c r="C9" i="3" s="1"/>
  <c r="C8" i="3"/>
  <c r="K36" i="3"/>
  <c r="D8" i="3"/>
  <c r="L36" i="3"/>
  <c r="L50" i="3" s="1"/>
  <c r="E8" i="3"/>
  <c r="F8" i="3"/>
  <c r="M36" i="3"/>
  <c r="F12" i="4"/>
  <c r="F13" i="4" s="1"/>
  <c r="M22" i="3"/>
  <c r="G2" i="2"/>
  <c r="H2" i="2"/>
  <c r="C14" i="3"/>
  <c r="L22" i="3"/>
  <c r="M55" i="3"/>
  <c r="L11" i="3"/>
  <c r="K55" i="3"/>
  <c r="D26" i="3" s="1"/>
  <c r="D27" i="3" s="1"/>
  <c r="D35" i="3"/>
  <c r="E35" i="3"/>
  <c r="E75" i="1"/>
  <c r="E19" i="3" s="1"/>
  <c r="K9" i="3"/>
  <c r="J22" i="3"/>
  <c r="C13" i="4" l="1"/>
  <c r="C25" i="4"/>
  <c r="J47" i="3" s="1"/>
  <c r="H75" i="1"/>
  <c r="F75" i="1"/>
  <c r="M27" i="3" s="1"/>
  <c r="L57" i="3"/>
  <c r="E15" i="3" s="1"/>
  <c r="L55" i="3"/>
  <c r="E26" i="3" s="1"/>
  <c r="E27" i="3" s="1"/>
  <c r="E20" i="2"/>
  <c r="L42" i="3"/>
  <c r="J59" i="3"/>
  <c r="C25" i="3" s="1"/>
  <c r="K59" i="3"/>
  <c r="D25" i="3" s="1"/>
  <c r="H90" i="1"/>
  <c r="C30" i="3"/>
  <c r="C32" i="3" s="1"/>
  <c r="C33" i="3" s="1"/>
  <c r="E45" i="3"/>
  <c r="D25" i="4"/>
  <c r="K47" i="3" s="1"/>
  <c r="E14" i="3"/>
  <c r="D47" i="3"/>
  <c r="M56" i="3"/>
  <c r="D38" i="4"/>
  <c r="L54" i="3"/>
  <c r="K57" i="3"/>
  <c r="D15" i="3" s="1"/>
  <c r="M50" i="3"/>
  <c r="F9" i="3" s="1"/>
  <c r="D43" i="3"/>
  <c r="C43" i="3"/>
  <c r="K46" i="3"/>
  <c r="D16" i="3" s="1"/>
  <c r="C47" i="3"/>
  <c r="J46" i="3"/>
  <c r="C16" i="3" s="1"/>
  <c r="C50" i="3"/>
  <c r="C44" i="3"/>
  <c r="E13" i="4"/>
  <c r="E48" i="3" s="1"/>
  <c r="D50" i="3"/>
  <c r="E44" i="3"/>
  <c r="D45" i="3"/>
  <c r="F43" i="3"/>
  <c r="C20" i="2"/>
  <c r="J43" i="3" s="1"/>
  <c r="J42" i="3"/>
  <c r="L43" i="3"/>
  <c r="E22" i="2"/>
  <c r="E10" i="3" s="1"/>
  <c r="E53" i="3"/>
  <c r="J57" i="3"/>
  <c r="C44" i="1"/>
  <c r="D75" i="1"/>
  <c r="H44" i="1"/>
  <c r="H46" i="1" s="1"/>
  <c r="L56" i="3"/>
  <c r="D14" i="3"/>
  <c r="F14" i="3"/>
  <c r="K54" i="3"/>
  <c r="D30" i="3" s="1"/>
  <c r="D32" i="3" s="1"/>
  <c r="D33" i="3" s="1"/>
  <c r="L27" i="3"/>
  <c r="E20" i="3" s="1"/>
  <c r="M54" i="3"/>
  <c r="C15" i="3"/>
  <c r="K50" i="3"/>
  <c r="E37" i="3" s="1"/>
  <c r="E30" i="3"/>
  <c r="E32" i="3" s="1"/>
  <c r="F20" i="3"/>
  <c r="L59" i="3"/>
  <c r="E25" i="3" s="1"/>
  <c r="K12" i="3"/>
  <c r="D44" i="1"/>
  <c r="E24" i="3"/>
  <c r="J48" i="3"/>
  <c r="C40" i="4"/>
  <c r="C42" i="4" s="1"/>
  <c r="K42" i="3"/>
  <c r="D20" i="2"/>
  <c r="J14" i="3"/>
  <c r="C46" i="1"/>
  <c r="M42" i="3"/>
  <c r="F53" i="3"/>
  <c r="F20" i="2"/>
  <c r="E9" i="3"/>
  <c r="J12" i="3"/>
  <c r="D24" i="3"/>
  <c r="C24" i="3"/>
  <c r="K48" i="3"/>
  <c r="J52" i="3"/>
  <c r="K52" i="3"/>
  <c r="E90" i="1"/>
  <c r="L33" i="3"/>
  <c r="L51" i="3" s="1"/>
  <c r="L52" i="3" s="1"/>
  <c r="F47" i="3"/>
  <c r="F50" i="3"/>
  <c r="F40" i="4"/>
  <c r="F42" i="4" s="1"/>
  <c r="F44" i="3"/>
  <c r="M46" i="3"/>
  <c r="F16" i="3" s="1"/>
  <c r="F48" i="3"/>
  <c r="D36" i="3"/>
  <c r="F44" i="1"/>
  <c r="M14" i="3" s="1"/>
  <c r="M12" i="3"/>
  <c r="K27" i="3"/>
  <c r="D90" i="1"/>
  <c r="D53" i="3"/>
  <c r="D19" i="3"/>
  <c r="F19" i="3"/>
  <c r="M33" i="3"/>
  <c r="M51" i="3" s="1"/>
  <c r="F90" i="1"/>
  <c r="F24" i="3"/>
  <c r="E44" i="1"/>
  <c r="L12" i="3"/>
  <c r="F26" i="3"/>
  <c r="F27" i="3" s="1"/>
  <c r="F30" i="3"/>
  <c r="F32" i="3" s="1"/>
  <c r="F35" i="3"/>
  <c r="K56" i="3"/>
  <c r="J11" i="3"/>
  <c r="K26" i="3"/>
  <c r="C75" i="1"/>
  <c r="E12" i="3"/>
  <c r="E21" i="3"/>
  <c r="M9" i="3"/>
  <c r="L44" i="3"/>
  <c r="D48" i="3"/>
  <c r="E25" i="4"/>
  <c r="C22" i="2" l="1"/>
  <c r="E33" i="3"/>
  <c r="F37" i="3"/>
  <c r="F36" i="3"/>
  <c r="D40" i="4"/>
  <c r="D42" i="4" s="1"/>
  <c r="E47" i="3"/>
  <c r="E50" i="3"/>
  <c r="L46" i="3"/>
  <c r="E16" i="3" s="1"/>
  <c r="F46" i="1"/>
  <c r="M16" i="3" s="1"/>
  <c r="D37" i="3"/>
  <c r="D9" i="3"/>
  <c r="M58" i="3"/>
  <c r="C21" i="3"/>
  <c r="C12" i="3"/>
  <c r="K43" i="3"/>
  <c r="D22" i="2"/>
  <c r="M59" i="3"/>
  <c r="F25" i="3" s="1"/>
  <c r="M57" i="3"/>
  <c r="F15" i="3" s="1"/>
  <c r="F33" i="3"/>
  <c r="F21" i="2"/>
  <c r="F22" i="2" s="1"/>
  <c r="M43" i="3"/>
  <c r="E36" i="3"/>
  <c r="M52" i="3"/>
  <c r="J58" i="3"/>
  <c r="K58" i="3"/>
  <c r="E4" i="3"/>
  <c r="E11" i="3"/>
  <c r="E6" i="3"/>
  <c r="F51" i="3"/>
  <c r="C90" i="1"/>
  <c r="C19" i="3"/>
  <c r="F39" i="3" s="1"/>
  <c r="C48" i="3"/>
  <c r="J27" i="3"/>
  <c r="L47" i="3"/>
  <c r="E40" i="4"/>
  <c r="E42" i="4" s="1"/>
  <c r="L14" i="3"/>
  <c r="E46" i="1"/>
  <c r="C51" i="3"/>
  <c r="J16" i="3"/>
  <c r="D46" i="1"/>
  <c r="K14" i="3"/>
  <c r="C5" i="3"/>
  <c r="J44" i="3"/>
  <c r="C10" i="3"/>
  <c r="D20" i="3"/>
  <c r="F18" i="3"/>
  <c r="L58" i="3"/>
  <c r="M44" i="3" l="1"/>
  <c r="F5" i="3"/>
  <c r="F10" i="3"/>
  <c r="C4" i="3"/>
  <c r="C6" i="3"/>
  <c r="C11" i="3"/>
  <c r="D51" i="3"/>
  <c r="K16" i="3"/>
  <c r="C18" i="3"/>
  <c r="C20" i="3"/>
  <c r="J53" i="3"/>
  <c r="D10" i="3"/>
  <c r="K44" i="3"/>
  <c r="D5" i="3"/>
  <c r="F12" i="3"/>
  <c r="F21" i="3"/>
  <c r="E51" i="3"/>
  <c r="L16" i="3"/>
  <c r="E5" i="3"/>
  <c r="D12" i="3"/>
  <c r="D21" i="3"/>
  <c r="L53" i="3" l="1"/>
  <c r="D38" i="3"/>
  <c r="D18" i="3"/>
  <c r="D4" i="3"/>
  <c r="D6" i="3"/>
  <c r="D11" i="3"/>
  <c r="E18" i="3"/>
  <c r="E38" i="3"/>
  <c r="M53" i="3"/>
  <c r="F38" i="3"/>
  <c r="K53" i="3"/>
  <c r="C23" i="3"/>
  <c r="C31" i="3"/>
  <c r="C7" i="3"/>
  <c r="F4" i="3"/>
  <c r="F6" i="3"/>
  <c r="F11" i="3"/>
  <c r="D31" i="3" l="1"/>
  <c r="D23" i="3"/>
  <c r="D7" i="3"/>
  <c r="F31" i="3"/>
  <c r="F23" i="3"/>
  <c r="F7" i="3"/>
  <c r="E31" i="3"/>
  <c r="E23" i="3"/>
  <c r="E7" i="3"/>
</calcChain>
</file>

<file path=xl/comments1.xml><?xml version="1.0" encoding="utf-8"?>
<comments xmlns="http://schemas.openxmlformats.org/spreadsheetml/2006/main">
  <authors>
    <author>作者</author>
  </authors>
  <commentList>
    <comment ref="D115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商品销售成本率=主营成本/主营收入</t>
        </r>
      </text>
    </comment>
  </commentList>
</comments>
</file>

<file path=xl/comments2.xml><?xml version="1.0" encoding="utf-8"?>
<comments xmlns="http://schemas.openxmlformats.org/spreadsheetml/2006/main">
  <authors>
    <author>zhangxiaoxu</author>
  </authors>
  <commentList>
    <comment ref="G53" authorId="0" shapeId="0">
      <text>
        <r>
          <rPr>
            <b/>
            <sz val="9"/>
            <color indexed="81"/>
            <rFont val="宋体"/>
            <family val="3"/>
            <charset val="134"/>
          </rPr>
          <t>zhangxiaoxu:</t>
        </r>
        <r>
          <rPr>
            <sz val="9"/>
            <color indexed="81"/>
            <rFont val="宋体"/>
            <family val="3"/>
            <charset val="134"/>
          </rPr>
          <t xml:space="preserve">
财务费用+营业利润+折旧+摊销=EBITDA</t>
        </r>
      </text>
    </comment>
  </commentList>
</comments>
</file>

<file path=xl/comments3.xml><?xml version="1.0" encoding="utf-8"?>
<comments xmlns="http://schemas.openxmlformats.org/spreadsheetml/2006/main">
  <authors>
    <author>shenningchuan</author>
  </authors>
  <commentList>
    <comment ref="G51" authorId="0" shapeId="0">
      <text>
        <r>
          <rPr>
            <b/>
            <sz val="9"/>
            <color indexed="81"/>
            <rFont val="Tahoma"/>
            <family val="2"/>
          </rPr>
          <t>shenningchuan: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去承兑汇票资产负债率</t>
        </r>
      </text>
    </comment>
  </commentList>
</comments>
</file>

<file path=xl/sharedStrings.xml><?xml version="1.0" encoding="utf-8"?>
<sst xmlns="http://schemas.openxmlformats.org/spreadsheetml/2006/main" count="1266" uniqueCount="553">
  <si>
    <t>资产</t>
  </si>
  <si>
    <t>行次</t>
  </si>
  <si>
    <t>负债及所有者权益</t>
  </si>
  <si>
    <t>一、流动资产：</t>
  </si>
  <si>
    <t>六、流动负债：</t>
  </si>
  <si>
    <t>七、长期负债：</t>
  </si>
  <si>
    <t>二、长期投资；</t>
  </si>
  <si>
    <t>三、固定资产：</t>
  </si>
  <si>
    <t>八、递延税项：</t>
  </si>
  <si>
    <t>九、所有者权益：</t>
  </si>
  <si>
    <t>五、递延税项：</t>
  </si>
  <si>
    <t>项目</t>
  </si>
  <si>
    <t>指标名称</t>
  </si>
  <si>
    <t>指标说明</t>
  </si>
  <si>
    <t>一、获利能力分析</t>
  </si>
  <si>
    <t>净利润/资本金总额</t>
  </si>
  <si>
    <t>毛利润/销售收入</t>
  </si>
  <si>
    <t>净利润/销售收入</t>
  </si>
  <si>
    <t>二、短期偿债能力分析</t>
  </si>
  <si>
    <t>流动资产/流动负债</t>
  </si>
  <si>
    <t>速动资产/流动负债</t>
  </si>
  <si>
    <t>三、长期偿债能力分析</t>
  </si>
  <si>
    <t>负债总额/资产总额</t>
  </si>
  <si>
    <t>负债总额/所有者权益总额</t>
  </si>
  <si>
    <t>产品销售收入净额/平均资产总额</t>
  </si>
  <si>
    <t>产品销售收入净额/固定资产平均净值</t>
  </si>
  <si>
    <t>销货成本/存货平均余额</t>
  </si>
  <si>
    <t>一、经营活动产生的现金流量</t>
  </si>
  <si>
    <t>现金流入小计</t>
  </si>
  <si>
    <t>经营活动产生的现金流量净额</t>
  </si>
  <si>
    <t>二、投资活动产生的现金流量</t>
  </si>
  <si>
    <t>现金流出小计</t>
  </si>
  <si>
    <t>投资活动产生的现金流量净额</t>
  </si>
  <si>
    <t>三、筹资活动产生的现金流量</t>
  </si>
  <si>
    <t>四、汇率变动对现金的影响</t>
  </si>
  <si>
    <t>五、现金及现金等价物净增加</t>
  </si>
  <si>
    <t>六、期末现金及现金等价物余额</t>
  </si>
  <si>
    <t>现金流出小计</t>
    <phoneticPr fontId="1" type="noConversion"/>
  </si>
  <si>
    <t>筹资活动产生的现金流量净额</t>
    <phoneticPr fontId="1" type="noConversion"/>
  </si>
  <si>
    <t>现金流入小计</t>
    <phoneticPr fontId="1" type="noConversion"/>
  </si>
  <si>
    <t>非流动资产合计</t>
    <phoneticPr fontId="1" type="noConversion"/>
  </si>
  <si>
    <t>总债务/EBITDA</t>
    <phoneticPr fontId="1" type="noConversion"/>
  </si>
  <si>
    <t>流动资产合计</t>
    <phoneticPr fontId="1" type="noConversion"/>
  </si>
  <si>
    <t>长期投资合计</t>
    <phoneticPr fontId="1" type="noConversion"/>
  </si>
  <si>
    <t>固定资产合计</t>
    <phoneticPr fontId="1" type="noConversion"/>
  </si>
  <si>
    <t>四.无形资产及其他资产：</t>
  </si>
  <si>
    <t>所有者权益合计</t>
    <phoneticPr fontId="1" type="noConversion"/>
  </si>
  <si>
    <t>负债及所有者权益合计</t>
    <phoneticPr fontId="1" type="noConversion"/>
  </si>
  <si>
    <t>资产负债表</t>
    <phoneticPr fontId="1" type="noConversion"/>
  </si>
  <si>
    <t>序号</t>
    <phoneticPr fontId="1" type="noConversion"/>
  </si>
  <si>
    <t>编号</t>
    <phoneticPr fontId="1" type="noConversion"/>
  </si>
  <si>
    <t>资本收益率</t>
    <phoneticPr fontId="1" type="noConversion"/>
  </si>
  <si>
    <t>资产收益率</t>
    <phoneticPr fontId="1" type="noConversion"/>
  </si>
  <si>
    <t>净利润/资产总额</t>
    <phoneticPr fontId="1" type="noConversion"/>
  </si>
  <si>
    <t>股东权益报酬率</t>
    <phoneticPr fontId="1" type="noConversion"/>
  </si>
  <si>
    <t>总资产利润率</t>
    <phoneticPr fontId="1" type="noConversion"/>
  </si>
  <si>
    <t>毛利率</t>
    <phoneticPr fontId="1" type="noConversion"/>
  </si>
  <si>
    <t>销售净利率</t>
    <phoneticPr fontId="1" type="noConversion"/>
  </si>
  <si>
    <t>成本费用利润率</t>
    <phoneticPr fontId="1" type="noConversion"/>
  </si>
  <si>
    <t>流动比率</t>
    <phoneticPr fontId="1" type="noConversion"/>
  </si>
  <si>
    <t>速动比率</t>
    <phoneticPr fontId="1" type="noConversion"/>
  </si>
  <si>
    <t>资产负债比率</t>
    <phoneticPr fontId="1" type="noConversion"/>
  </si>
  <si>
    <t>利息保障倍数</t>
    <phoneticPr fontId="1" type="noConversion"/>
  </si>
  <si>
    <t>（税前利润+利息费用）/利息费用</t>
    <phoneticPr fontId="1" type="noConversion"/>
  </si>
  <si>
    <t>四、营运能力分析</t>
    <phoneticPr fontId="1" type="noConversion"/>
  </si>
  <si>
    <t>总资产周转率</t>
    <phoneticPr fontId="1" type="noConversion"/>
  </si>
  <si>
    <t>固定资产周转率</t>
    <phoneticPr fontId="1" type="noConversion"/>
  </si>
  <si>
    <t>应收账款周转率</t>
    <phoneticPr fontId="1" type="noConversion"/>
  </si>
  <si>
    <t>应收账款周转天数</t>
    <phoneticPr fontId="1" type="noConversion"/>
  </si>
  <si>
    <t>360/应收账款周转率</t>
    <phoneticPr fontId="1" type="noConversion"/>
  </si>
  <si>
    <t>应付账款周转率</t>
    <phoneticPr fontId="1" type="noConversion"/>
  </si>
  <si>
    <t>销售收入/应付账款</t>
    <phoneticPr fontId="1" type="noConversion"/>
  </si>
  <si>
    <t>应付账款周转天数</t>
    <phoneticPr fontId="1" type="noConversion"/>
  </si>
  <si>
    <t>存货周转率</t>
    <phoneticPr fontId="1" type="noConversion"/>
  </si>
  <si>
    <t>存货周转天数</t>
    <phoneticPr fontId="1" type="noConversion"/>
  </si>
  <si>
    <t>360/存货周转率</t>
    <phoneticPr fontId="1" type="noConversion"/>
  </si>
  <si>
    <t>营业周期</t>
    <phoneticPr fontId="1" type="noConversion"/>
  </si>
  <si>
    <t>应收账款周转天数+存货周转天数</t>
    <phoneticPr fontId="1" type="noConversion"/>
  </si>
  <si>
    <t>现金流量分析</t>
    <phoneticPr fontId="1" type="noConversion"/>
  </si>
  <si>
    <t>现金流量结构分析</t>
    <phoneticPr fontId="1" type="noConversion"/>
  </si>
  <si>
    <t>经营活动现金流入流出比</t>
    <phoneticPr fontId="1" type="noConversion"/>
  </si>
  <si>
    <t>酬资活动现金流入流出表</t>
    <phoneticPr fontId="1" type="noConversion"/>
  </si>
  <si>
    <t>投资活动现金流入流出比</t>
    <phoneticPr fontId="1" type="noConversion"/>
  </si>
  <si>
    <t>短期负债能力</t>
    <phoneticPr fontId="1" type="noConversion"/>
  </si>
  <si>
    <t>经营活动现金净流入/流动负债</t>
    <phoneticPr fontId="1" type="noConversion"/>
  </si>
  <si>
    <t>获取现金能力比率</t>
    <phoneticPr fontId="1" type="noConversion"/>
  </si>
  <si>
    <t>财务指标</t>
    <phoneticPr fontId="1" type="noConversion"/>
  </si>
  <si>
    <t>（利润总额+利息支出净额）/ 资产总值</t>
    <phoneticPr fontId="1" type="noConversion"/>
  </si>
  <si>
    <t xml:space="preserve">净利润/股东权益 </t>
    <phoneticPr fontId="1" type="noConversion"/>
  </si>
  <si>
    <t>产权比率</t>
    <phoneticPr fontId="1" type="noConversion"/>
  </si>
  <si>
    <t>产品销售收入净额/流动资产平均占用额</t>
    <phoneticPr fontId="1" type="noConversion"/>
  </si>
  <si>
    <t>流动资产周转率</t>
    <phoneticPr fontId="1" type="noConversion"/>
  </si>
  <si>
    <t>经营活动现金净流入/负债总额</t>
    <phoneticPr fontId="1" type="noConversion"/>
  </si>
  <si>
    <t>经营现金净流入/销售额</t>
    <phoneticPr fontId="1" type="noConversion"/>
  </si>
  <si>
    <t>经营现金净流入/全部资产</t>
    <phoneticPr fontId="1" type="noConversion"/>
  </si>
  <si>
    <t>五、发展能力分析</t>
    <phoneticPr fontId="1" type="noConversion"/>
  </si>
  <si>
    <t>收入增长率</t>
    <phoneticPr fontId="1" type="noConversion"/>
  </si>
  <si>
    <t>总资产增长率</t>
    <phoneticPr fontId="1" type="noConversion"/>
  </si>
  <si>
    <t>利润表</t>
    <phoneticPr fontId="1" type="noConversion"/>
  </si>
  <si>
    <t xml:space="preserve"> </t>
    <phoneticPr fontId="1" type="noConversion"/>
  </si>
  <si>
    <t xml:space="preserve">        补充资料：</t>
  </si>
  <si>
    <t xml:space="preserve">        1、出售、处置部门或被投资单位所得收益</t>
  </si>
  <si>
    <t xml:space="preserve">        2、自然灾害发生的损失</t>
  </si>
  <si>
    <t xml:space="preserve">        3、会计政策变更增加（或减少）利润总额</t>
  </si>
  <si>
    <t xml:space="preserve">        4、会计估计变更增加（或减少）利润总额</t>
  </si>
  <si>
    <t xml:space="preserve">        5、债务重组损失</t>
  </si>
  <si>
    <t xml:space="preserve">        6、实汇企业个数（个）</t>
  </si>
  <si>
    <t xml:space="preserve">        7、亏损企业个数（个）</t>
  </si>
  <si>
    <t xml:space="preserve">        8、亏损企业净损额</t>
  </si>
  <si>
    <t xml:space="preserve">        9、期末全部职工人数（人）</t>
  </si>
  <si>
    <t xml:space="preserve">             其中：期末财会人员数（人）</t>
  </si>
  <si>
    <t xml:space="preserve">       10、本期工资总额</t>
  </si>
  <si>
    <t xml:space="preserve">       11、本期福利费总额</t>
  </si>
  <si>
    <t xml:space="preserve">       12、在管理费用中列支的劳动、待业保险费</t>
  </si>
  <si>
    <t xml:space="preserve">       13、在成本费用中列支的支农、建农支出</t>
  </si>
  <si>
    <t xml:space="preserve">       14、补助社会性支出</t>
  </si>
  <si>
    <t xml:space="preserve">       15、其他社会支出</t>
  </si>
  <si>
    <t xml:space="preserve">       16、利息支出净额</t>
  </si>
  <si>
    <t xml:space="preserve">       17、上交教育费附加</t>
  </si>
  <si>
    <t xml:space="preserve">       18、应交税金总额</t>
  </si>
  <si>
    <t xml:space="preserve">              其中：增值税应纳税额</t>
  </si>
  <si>
    <t xml:space="preserve">       19、实交税金总额</t>
  </si>
  <si>
    <t xml:space="preserve">              其中：已交增值税</t>
  </si>
  <si>
    <t xml:space="preserve">       20、销项税额</t>
  </si>
  <si>
    <t xml:space="preserve">       21、进项税额</t>
  </si>
  <si>
    <t xml:space="preserve">       22、增加值</t>
  </si>
  <si>
    <t>一、获利能力分析</t>
    <phoneticPr fontId="1" type="noConversion"/>
  </si>
  <si>
    <t>盈余现金保障倍数</t>
    <phoneticPr fontId="1" type="noConversion"/>
  </si>
  <si>
    <t>经营性现金净流量/净利润</t>
    <phoneticPr fontId="1" type="noConversion"/>
  </si>
  <si>
    <t>盈余现金保障倍数</t>
    <phoneticPr fontId="1" type="noConversion"/>
  </si>
  <si>
    <t>流动资产周转率</t>
    <phoneticPr fontId="1" type="noConversion"/>
  </si>
  <si>
    <t>五、发展能力分析</t>
    <phoneticPr fontId="1" type="noConversion"/>
  </si>
  <si>
    <t>收入增长率</t>
    <phoneticPr fontId="1" type="noConversion"/>
  </si>
  <si>
    <t>资本累积率</t>
    <phoneticPr fontId="1" type="noConversion"/>
  </si>
  <si>
    <t>二、营运能力分析</t>
    <phoneticPr fontId="1" type="noConversion"/>
  </si>
  <si>
    <t>资产现金回收率</t>
    <phoneticPr fontId="1" type="noConversion"/>
  </si>
  <si>
    <t>经营性现金净流量/平均资产总额</t>
    <phoneticPr fontId="1" type="noConversion"/>
  </si>
  <si>
    <t>三、短期偿债能力分析</t>
    <phoneticPr fontId="1" type="noConversion"/>
  </si>
  <si>
    <t>四、长期偿债能力分析</t>
    <phoneticPr fontId="1" type="noConversion"/>
  </si>
  <si>
    <t>金属加工机械制造业</t>
  </si>
  <si>
    <t>船舶制造业</t>
  </si>
  <si>
    <t>黑色金属冶炼业</t>
  </si>
  <si>
    <t>项目</t>
    <phoneticPr fontId="1" type="noConversion"/>
  </si>
  <si>
    <t>优秀</t>
    <phoneticPr fontId="1" type="noConversion"/>
  </si>
  <si>
    <t>良好</t>
    <phoneticPr fontId="1" type="noConversion"/>
  </si>
  <si>
    <t>平均</t>
    <phoneticPr fontId="1" type="noConversion"/>
  </si>
  <si>
    <t>较低</t>
    <phoneticPr fontId="1" type="noConversion"/>
  </si>
  <si>
    <t>较差</t>
    <phoneticPr fontId="1" type="noConversion"/>
  </si>
  <si>
    <t>现金流动负债比率</t>
    <phoneticPr fontId="1" type="noConversion"/>
  </si>
  <si>
    <t>经营性现金净流量/流动负债</t>
    <phoneticPr fontId="1" type="noConversion"/>
  </si>
  <si>
    <t>带息负债比率</t>
    <phoneticPr fontId="1" type="noConversion"/>
  </si>
  <si>
    <t>原油及其天然气开采</t>
    <phoneticPr fontId="1" type="noConversion"/>
  </si>
  <si>
    <t>石油加工及其炼焦业</t>
    <phoneticPr fontId="1" type="noConversion"/>
  </si>
  <si>
    <t>通用设备制造业</t>
    <phoneticPr fontId="1" type="noConversion"/>
  </si>
  <si>
    <t>航空运输业</t>
    <phoneticPr fontId="1" type="noConversion"/>
  </si>
  <si>
    <t>水上运输业</t>
    <phoneticPr fontId="1" type="noConversion"/>
  </si>
  <si>
    <t>汽车制造业</t>
    <phoneticPr fontId="1" type="noConversion"/>
  </si>
  <si>
    <t>行业</t>
    <phoneticPr fontId="1" type="noConversion"/>
  </si>
  <si>
    <t>各行业财务指标标准参数</t>
    <phoneticPr fontId="1" type="noConversion"/>
  </si>
  <si>
    <t>总资产增长率</t>
    <phoneticPr fontId="1" type="noConversion"/>
  </si>
  <si>
    <t>电工器材制造业</t>
    <phoneticPr fontId="1" type="noConversion"/>
  </si>
  <si>
    <t>当年</t>
    <phoneticPr fontId="1" type="noConversion"/>
  </si>
  <si>
    <t>当年</t>
    <phoneticPr fontId="1" type="noConversion"/>
  </si>
  <si>
    <t>现金流量表</t>
    <phoneticPr fontId="1" type="noConversion"/>
  </si>
  <si>
    <t>年化后的指标</t>
    <phoneticPr fontId="1" type="noConversion"/>
  </si>
  <si>
    <t>1月1月</t>
  </si>
  <si>
    <t>2月2月</t>
  </si>
  <si>
    <t>3月3月</t>
  </si>
  <si>
    <t>4月4月</t>
  </si>
  <si>
    <t>5月5月</t>
  </si>
  <si>
    <t>6月6月</t>
  </si>
  <si>
    <t>7月7月</t>
  </si>
  <si>
    <t>8月8月</t>
  </si>
  <si>
    <t>9月9月</t>
  </si>
  <si>
    <t>10月10月</t>
  </si>
  <si>
    <t>11月11月</t>
  </si>
  <si>
    <t>12月12月</t>
  </si>
  <si>
    <t>360/应付账款周转率</t>
    <phoneticPr fontId="1" type="noConversion"/>
  </si>
  <si>
    <t>原油及其天然气开采</t>
    <phoneticPr fontId="1" type="noConversion"/>
  </si>
  <si>
    <t>带息负债比率</t>
    <phoneticPr fontId="1" type="noConversion"/>
  </si>
  <si>
    <t>带息负债比率</t>
    <phoneticPr fontId="1" type="noConversion"/>
  </si>
  <si>
    <t>净利润</t>
    <phoneticPr fontId="1" type="noConversion"/>
  </si>
  <si>
    <t>实收资本</t>
  </si>
  <si>
    <t>实收资本</t>
    <phoneticPr fontId="1" type="noConversion"/>
  </si>
  <si>
    <t>资本公积</t>
    <phoneticPr fontId="1" type="noConversion"/>
  </si>
  <si>
    <t>所有者权益合计</t>
  </si>
  <si>
    <t>利润总额</t>
    <phoneticPr fontId="1" type="noConversion"/>
  </si>
  <si>
    <t>财务费用</t>
  </si>
  <si>
    <t>主营业务收入</t>
  </si>
  <si>
    <t>主营业务收入</t>
    <phoneticPr fontId="1" type="noConversion"/>
  </si>
  <si>
    <t>主营业务成本</t>
  </si>
  <si>
    <t>营业利润</t>
    <phoneticPr fontId="1" type="noConversion"/>
  </si>
  <si>
    <t>货币资金</t>
    <phoneticPr fontId="1" type="noConversion"/>
  </si>
  <si>
    <t>应收账款</t>
  </si>
  <si>
    <t>存货</t>
  </si>
  <si>
    <t>流动负债合计</t>
  </si>
  <si>
    <t>流动负债合计</t>
    <phoneticPr fontId="1" type="noConversion"/>
  </si>
  <si>
    <t>长期负债合计</t>
  </si>
  <si>
    <t>应付账款</t>
  </si>
  <si>
    <t>主营业务利润</t>
  </si>
  <si>
    <t>主营业务利润</t>
    <phoneticPr fontId="1" type="noConversion"/>
  </si>
  <si>
    <t>固定资产合计</t>
  </si>
  <si>
    <t>资产合计</t>
  </si>
  <si>
    <t>负债合计</t>
  </si>
  <si>
    <t>少数股东权益</t>
  </si>
  <si>
    <t>长期投资合计</t>
  </si>
  <si>
    <t>无形资产及其他资产合计</t>
  </si>
  <si>
    <t>无形资产及其他资产合计</t>
    <phoneticPr fontId="1" type="noConversion"/>
  </si>
  <si>
    <t>资产合计</t>
    <phoneticPr fontId="1" type="noConversion"/>
  </si>
  <si>
    <t>流动资产合计</t>
  </si>
  <si>
    <t>短期投资（交易性金融资产）</t>
  </si>
  <si>
    <t>短期投资（交易性金融资产）</t>
    <phoneticPr fontId="1" type="noConversion"/>
  </si>
  <si>
    <t>未分配利润</t>
  </si>
  <si>
    <t>未分配利润</t>
    <phoneticPr fontId="1" type="noConversion"/>
  </si>
  <si>
    <t>主营业务税金及附加</t>
  </si>
  <si>
    <t>其他业务利润</t>
  </si>
  <si>
    <t>投资活动产生的现金流量净额</t>
    <phoneticPr fontId="1" type="noConversion"/>
  </si>
  <si>
    <t>净资产</t>
  </si>
  <si>
    <t>期间平均净资产</t>
  </si>
  <si>
    <t>期间平均资产</t>
  </si>
  <si>
    <t>其中：银行存款</t>
  </si>
  <si>
    <t>应收票据</t>
  </si>
  <si>
    <t>应收股利</t>
  </si>
  <si>
    <t>应收利息</t>
  </si>
  <si>
    <t>其他应收款</t>
  </si>
  <si>
    <t>预付款项</t>
  </si>
  <si>
    <t>应收补贴款</t>
  </si>
  <si>
    <t>其中：原材料</t>
  </si>
  <si>
    <t>待摊费用</t>
  </si>
  <si>
    <t>一年内到期的非流动资产</t>
  </si>
  <si>
    <t>其他流动资产</t>
  </si>
  <si>
    <t>长期股权投资</t>
  </si>
  <si>
    <t>长期债权投资</t>
  </si>
  <si>
    <t>固定资产原价</t>
  </si>
  <si>
    <t>减：累计折旧</t>
  </si>
  <si>
    <t>固定资产净值</t>
  </si>
  <si>
    <t>减：固定资产减值准备</t>
  </si>
  <si>
    <t>固定资产净额</t>
  </si>
  <si>
    <t>在建工程</t>
  </si>
  <si>
    <t>固定资产清理</t>
  </si>
  <si>
    <t>无形资产</t>
  </si>
  <si>
    <t>长期待摊费用</t>
  </si>
  <si>
    <t>递延税款借项</t>
  </si>
  <si>
    <t>短期借款</t>
  </si>
  <si>
    <t>其中：银行借款</t>
  </si>
  <si>
    <t>应付票据</t>
  </si>
  <si>
    <t>预收款项</t>
  </si>
  <si>
    <t>应付工资</t>
  </si>
  <si>
    <t>应付福利费</t>
  </si>
  <si>
    <t>应付股利（利润）</t>
  </si>
  <si>
    <t>应交税金</t>
  </si>
  <si>
    <t>其他应交款</t>
  </si>
  <si>
    <t>其他应付款</t>
  </si>
  <si>
    <t>预提费用</t>
  </si>
  <si>
    <t>预计负债</t>
  </si>
  <si>
    <t>一年内到期长期负债</t>
  </si>
  <si>
    <t>其他流动负债</t>
  </si>
  <si>
    <t>长期借款</t>
  </si>
  <si>
    <t>应付债券</t>
  </si>
  <si>
    <t>长期应付款</t>
  </si>
  <si>
    <t>专项应付款</t>
  </si>
  <si>
    <t>递延税款贷项</t>
  </si>
  <si>
    <t>减：已归还投资</t>
  </si>
  <si>
    <t>实收资本净额</t>
  </si>
  <si>
    <t>其中：乡集体资本金</t>
  </si>
  <si>
    <t>盈余公积</t>
  </si>
  <si>
    <t>其中：法定公益金</t>
  </si>
  <si>
    <t>减：</t>
  </si>
  <si>
    <t>营业费用</t>
  </si>
  <si>
    <t>管理费用</t>
  </si>
  <si>
    <t>资产减值损失</t>
  </si>
  <si>
    <t>加：公允价值变动收益（损失以“-”填列）</t>
  </si>
  <si>
    <t>加：投资收益（亏损以“-”号填列）</t>
  </si>
  <si>
    <t>补贴收入</t>
  </si>
  <si>
    <t>加：营业外收入</t>
  </si>
  <si>
    <t>减：营业外支出</t>
  </si>
  <si>
    <t>减：所得税</t>
  </si>
  <si>
    <t>销售商品、提供劳务收到的现金</t>
  </si>
  <si>
    <t>收到的税费返还</t>
  </si>
  <si>
    <t>收到的其他与经营活动有关的现金</t>
  </si>
  <si>
    <t>购买商品、接受劳务支付的现金</t>
  </si>
  <si>
    <t>支付给职工以及为职工支付的现金</t>
  </si>
  <si>
    <t>支付的其他与经营活动有关的现金</t>
  </si>
  <si>
    <t>收回投资所收到的现金</t>
  </si>
  <si>
    <t>取得投资收益所收到的现金</t>
  </si>
  <si>
    <t>处置固定资产、无形资产和其他长期资产而收回的现金净额</t>
  </si>
  <si>
    <t>处置子公司及其他营业单位收到的现金净额</t>
  </si>
  <si>
    <t>收到的其他与投资活动有关的现金</t>
  </si>
  <si>
    <t>购建固定资产、无形资产和其他长期资产所支付的现金</t>
  </si>
  <si>
    <t>投资所支付的现金</t>
  </si>
  <si>
    <t>支付的其他与投资活动有关的现金</t>
  </si>
  <si>
    <t>吸收投资所收到的现金</t>
  </si>
  <si>
    <t>借款所收到的现金</t>
  </si>
  <si>
    <t>收到的其他与筹资活动有关现金</t>
  </si>
  <si>
    <t>偿还债务所支付的现金</t>
  </si>
  <si>
    <t>分配股利或利润或偿付利息所支付的现金</t>
  </si>
  <si>
    <t>支付的其他与筹资活动有关的现金</t>
  </si>
  <si>
    <t>加：期初现金及现金等价物余额</t>
  </si>
  <si>
    <t>期间平均应付账款余额</t>
    <phoneticPr fontId="1" type="noConversion"/>
  </si>
  <si>
    <t>利润总额/（营业成本+营业费用+管理费用+财务费用+主营业务税金及其附加）</t>
    <phoneticPr fontId="1" type="noConversion"/>
  </si>
  <si>
    <t>速动资产</t>
    <phoneticPr fontId="1" type="noConversion"/>
  </si>
  <si>
    <t>应付债券</t>
    <phoneticPr fontId="1" type="noConversion"/>
  </si>
  <si>
    <t>平均固定资产</t>
    <phoneticPr fontId="1" type="noConversion"/>
  </si>
  <si>
    <t>平均流动资产</t>
    <phoneticPr fontId="1" type="noConversion"/>
  </si>
  <si>
    <t>平均应收账款</t>
    <phoneticPr fontId="1" type="noConversion"/>
  </si>
  <si>
    <t>平均存货</t>
    <phoneticPr fontId="1" type="noConversion"/>
  </si>
  <si>
    <t>财务简表</t>
    <phoneticPr fontId="1" type="noConversion"/>
  </si>
  <si>
    <t>主营业务利润/主营业务收入</t>
    <phoneticPr fontId="1" type="noConversion"/>
  </si>
  <si>
    <t>主营业务利润率</t>
  </si>
  <si>
    <t>主营业务利润率</t>
    <phoneticPr fontId="1" type="noConversion"/>
  </si>
  <si>
    <t>主营业务利润增长率</t>
  </si>
  <si>
    <t>（短期借款＋一年内到期长期负债＋长期借款＋应付债券+应付利息）/负债总额</t>
    <phoneticPr fontId="1" type="noConversion"/>
  </si>
  <si>
    <t xml:space="preserve">编制单位: </t>
    <phoneticPr fontId="1" type="noConversion"/>
  </si>
  <si>
    <t>偿付利息所支付的现金</t>
    <phoneticPr fontId="1" type="noConversion"/>
  </si>
  <si>
    <t>融资租赁所支付的现金</t>
    <phoneticPr fontId="1" type="noConversion"/>
  </si>
  <si>
    <t>发生筹资费用所支付的现金</t>
    <phoneticPr fontId="1" type="noConversion"/>
  </si>
  <si>
    <t>煤炭工业</t>
    <phoneticPr fontId="1" type="noConversion"/>
  </si>
  <si>
    <t>递延资产</t>
    <phoneticPr fontId="1" type="noConversion"/>
  </si>
  <si>
    <t>结构性金属制品业</t>
    <phoneticPr fontId="1" type="noConversion"/>
  </si>
  <si>
    <t>工程物资</t>
    <phoneticPr fontId="1" type="noConversion"/>
  </si>
  <si>
    <t>化学药品原药、制剂制造业</t>
  </si>
  <si>
    <t>投资公司</t>
    <phoneticPr fontId="1" type="noConversion"/>
  </si>
  <si>
    <t>肥料制造业</t>
    <phoneticPr fontId="1" type="noConversion"/>
  </si>
  <si>
    <t xml:space="preserve">      村集体资本金</t>
    <phoneticPr fontId="1" type="noConversion"/>
  </si>
  <si>
    <t xml:space="preserve">      法人资本金</t>
    <phoneticPr fontId="1" type="noConversion"/>
  </si>
  <si>
    <t xml:space="preserve">      个人资本金</t>
    <phoneticPr fontId="1" type="noConversion"/>
  </si>
  <si>
    <t xml:space="preserve">      外商资本金</t>
    <phoneticPr fontId="1" type="noConversion"/>
  </si>
  <si>
    <t>实际交纳的各项税费</t>
    <phoneticPr fontId="1" type="noConversion"/>
  </si>
  <si>
    <t xml:space="preserve">      产成品</t>
    <phoneticPr fontId="1" type="noConversion"/>
  </si>
  <si>
    <t>赊销收入净额/应收账款平均余额</t>
    <phoneticPr fontId="1" type="noConversion"/>
  </si>
  <si>
    <t>资本累积率</t>
    <phoneticPr fontId="1" type="noConversion"/>
  </si>
  <si>
    <t>三年利润平均增长率</t>
    <phoneticPr fontId="1" type="noConversion"/>
  </si>
  <si>
    <t>其他</t>
    <phoneticPr fontId="1" type="noConversion"/>
  </si>
  <si>
    <t>被考评企业：</t>
    <phoneticPr fontId="1" type="noConversion"/>
  </si>
  <si>
    <t>评定指标</t>
    <phoneticPr fontId="1" type="noConversion"/>
  </si>
  <si>
    <t>标准分</t>
    <phoneticPr fontId="1" type="noConversion"/>
  </si>
  <si>
    <t>计分方法</t>
    <phoneticPr fontId="1" type="noConversion"/>
  </si>
  <si>
    <t>标记</t>
    <phoneticPr fontId="1" type="noConversion"/>
  </si>
  <si>
    <t>评分</t>
    <phoneticPr fontId="1" type="noConversion"/>
  </si>
  <si>
    <t>备注</t>
    <phoneticPr fontId="1" type="noConversion"/>
  </si>
  <si>
    <t>（一）</t>
    <phoneticPr fontId="1" type="noConversion"/>
  </si>
  <si>
    <t>企业积累</t>
    <phoneticPr fontId="1" type="noConversion"/>
  </si>
  <si>
    <t>企业经营年数</t>
    <phoneticPr fontId="1" type="noConversion"/>
  </si>
  <si>
    <t>企业存续期超过10年（含10年）得1分；</t>
    <phoneticPr fontId="1" type="noConversion"/>
  </si>
  <si>
    <t>存续5-10年（含5年）得0.5分；</t>
    <phoneticPr fontId="1" type="noConversion"/>
  </si>
  <si>
    <t>其余不得分。</t>
    <phoneticPr fontId="1" type="noConversion"/>
  </si>
  <si>
    <t>企业规模</t>
    <phoneticPr fontId="1" type="noConversion"/>
  </si>
  <si>
    <t>起评分为0分，一项符合加0.5分，1分满分：（1）企业资产规模超过1亿元（含）；</t>
    <phoneticPr fontId="1" type="noConversion"/>
  </si>
  <si>
    <t>（2）企业非流动资产规模超过5000万元（含）；</t>
    <phoneticPr fontId="1" type="noConversion"/>
  </si>
  <si>
    <t>（3）企业员工总数超过300人（含）。</t>
    <phoneticPr fontId="1" type="noConversion"/>
  </si>
  <si>
    <t>企业历史积累</t>
    <phoneticPr fontId="1" type="noConversion"/>
  </si>
  <si>
    <t>起评分为0分，一项符合加0.5分，1分满分：（1）企业净资产规模超过5000万元（含）；</t>
    <phoneticPr fontId="1" type="noConversion"/>
  </si>
  <si>
    <t>（2）企业前三年净利润之和超过3000万元（含）。</t>
    <phoneticPr fontId="1" type="noConversion"/>
  </si>
  <si>
    <t>（二）</t>
    <phoneticPr fontId="1" type="noConversion"/>
  </si>
  <si>
    <t>企业内部管理</t>
    <phoneticPr fontId="1" type="noConversion"/>
  </si>
  <si>
    <t>主要经营者（实际控制人）本业年资</t>
    <phoneticPr fontId="1" type="noConversion"/>
  </si>
  <si>
    <t>企业主要经营者（法定代表人、实际控制人）从事本业年资超过10年（含）得1分；</t>
    <phoneticPr fontId="1" type="noConversion"/>
  </si>
  <si>
    <t>5（含）-10年得0.5分；</t>
    <phoneticPr fontId="1" type="noConversion"/>
  </si>
  <si>
    <t>主要经营者（实际控制人）基本素质</t>
    <phoneticPr fontId="1" type="noConversion"/>
  </si>
  <si>
    <t>起评分为0分，一项符合加0.5分，2分满分：（1）身体健康；</t>
    <phoneticPr fontId="1" type="noConversion"/>
  </si>
  <si>
    <t>（2）未见沾染恶习、不良嗜好、不良作风，未查及不良信用信息；</t>
    <phoneticPr fontId="1" type="noConversion"/>
  </si>
  <si>
    <t>（3）无违法记录；</t>
    <phoneticPr fontId="1" type="noConversion"/>
  </si>
  <si>
    <t>（4）社会及业界风评佳。</t>
    <phoneticPr fontId="1" type="noConversion"/>
  </si>
  <si>
    <t>3</t>
    <phoneticPr fontId="1" type="noConversion"/>
  </si>
  <si>
    <t>经营团队胜任能力</t>
    <phoneticPr fontId="1" type="noConversion"/>
  </si>
  <si>
    <t>起评分为0分，一项符合加0.5分，2.5分满分：（1）团队稳定性好；</t>
    <phoneticPr fontId="1" type="noConversion"/>
  </si>
  <si>
    <t>（2）经营团队的专业经历丰富、学识较高；</t>
    <phoneticPr fontId="1" type="noConversion"/>
  </si>
  <si>
    <t>（3）团队拥有较好的人脉基础；</t>
    <phoneticPr fontId="1" type="noConversion"/>
  </si>
  <si>
    <t>（4）经营计划执行连贯；</t>
    <phoneticPr fontId="1" type="noConversion"/>
  </si>
  <si>
    <t>（5）无重大经营投资失误事件。</t>
    <phoneticPr fontId="1" type="noConversion"/>
  </si>
  <si>
    <t>4</t>
    <phoneticPr fontId="1" type="noConversion"/>
  </si>
  <si>
    <t>企业内部控制</t>
    <phoneticPr fontId="1" type="noConversion"/>
  </si>
  <si>
    <t>起评分为0分，一项符合加0.5分，2.5分满分：（1）企业产权明晰、股权治理结构完善；</t>
    <phoneticPr fontId="1" type="noConversion"/>
  </si>
  <si>
    <t>（2）企业制度健全，无重大内控漏洞；</t>
    <phoneticPr fontId="1" type="noConversion"/>
  </si>
  <si>
    <t>（3）执行力高、传达效率高；</t>
    <phoneticPr fontId="1" type="noConversion"/>
  </si>
  <si>
    <t>（4）通过ISO9000、ISO14000等认证；</t>
    <phoneticPr fontId="1" type="noConversion"/>
  </si>
  <si>
    <t>（5）信用级别AA级以上，无银行违约等不良信用信息。</t>
    <phoneticPr fontId="1" type="noConversion"/>
  </si>
  <si>
    <t>5</t>
    <phoneticPr fontId="1" type="noConversion"/>
  </si>
  <si>
    <t>企业职工素质</t>
    <phoneticPr fontId="1" type="noConversion"/>
  </si>
  <si>
    <t>起评分为0分，一项符合加0.5分，2分满分：（1）中专以上学历职工在2/3以上；</t>
    <phoneticPr fontId="1" type="noConversion"/>
  </si>
  <si>
    <t>（2）技术研发及高级技工占生产人员总数高（大于1/10）；</t>
    <phoneticPr fontId="1" type="noConversion"/>
  </si>
  <si>
    <t>（3）职工工作的积极性高、责任感强；</t>
    <phoneticPr fontId="1" type="noConversion"/>
  </si>
  <si>
    <t>（4）无人员流动率异常上升。</t>
    <phoneticPr fontId="1" type="noConversion"/>
  </si>
  <si>
    <t>（三）</t>
    <phoneticPr fontId="1" type="noConversion"/>
  </si>
  <si>
    <t>企业生产经营</t>
    <phoneticPr fontId="1" type="noConversion"/>
  </si>
  <si>
    <t>1</t>
    <phoneticPr fontId="1" type="noConversion"/>
  </si>
  <si>
    <t>供应状况</t>
    <phoneticPr fontId="1" type="noConversion"/>
  </si>
  <si>
    <t>起评分为0分，一项符合加0.5分，3分满分：（1）原材料非稀有物资；</t>
    <phoneticPr fontId="1" type="noConversion"/>
  </si>
  <si>
    <t>（2）原材料常年供应稳定；</t>
    <phoneticPr fontId="1" type="noConversion"/>
  </si>
  <si>
    <t>（3）原材料可于国内完成采购；</t>
    <phoneticPr fontId="1" type="noConversion"/>
  </si>
  <si>
    <t>（4）原材料供应厂商数量众多；</t>
    <phoneticPr fontId="1" type="noConversion"/>
  </si>
  <si>
    <t>（5）企业对供应商有相当的影响力；</t>
    <phoneticPr fontId="1" type="noConversion"/>
  </si>
  <si>
    <t>（6）企业采取风险对冲等手段控制材料成本异动的风险。</t>
    <phoneticPr fontId="1" type="noConversion"/>
  </si>
  <si>
    <t>2</t>
    <phoneticPr fontId="1" type="noConversion"/>
  </si>
  <si>
    <t>生产状况</t>
    <phoneticPr fontId="1" type="noConversion"/>
  </si>
  <si>
    <t>起评分为0分，一项符合加0.5分，4分满分：（1）产业链完整；</t>
    <phoneticPr fontId="1" type="noConversion"/>
  </si>
  <si>
    <t>（2）生产场地配置充分；</t>
    <phoneticPr fontId="1" type="noConversion"/>
  </si>
  <si>
    <t>（3）生产设备技术不落后；</t>
    <phoneticPr fontId="1" type="noConversion"/>
  </si>
  <si>
    <t>（4）生产设备开工率足，电费开支平稳；</t>
    <phoneticPr fontId="1" type="noConversion"/>
  </si>
  <si>
    <t>（5）生产设备维护保养情况好；</t>
    <phoneticPr fontId="1" type="noConversion"/>
  </si>
  <si>
    <t>（6）合格品比例高，残次品少；</t>
    <phoneticPr fontId="1" type="noConversion"/>
  </si>
  <si>
    <t>（7）节能减排措施得力；</t>
    <phoneticPr fontId="1" type="noConversion"/>
  </si>
  <si>
    <t>（8）生产柔性程度好。</t>
    <phoneticPr fontId="1" type="noConversion"/>
  </si>
  <si>
    <t>销售状况</t>
    <phoneticPr fontId="1" type="noConversion"/>
  </si>
  <si>
    <t>起评分为0分，一项符合加0.5分，3分满分：（1）拥有完善的营销渠道，覆盖面大；或区域内市场份额高；</t>
    <phoneticPr fontId="1" type="noConversion"/>
  </si>
  <si>
    <t>（2）企业的主副业架构合理（比例9:1-6:4）；</t>
    <phoneticPr fontId="1" type="noConversion"/>
  </si>
  <si>
    <t>（3）企业客户分布合理，核心客户与其他客户比例合理（3:7-6:4)；</t>
    <phoneticPr fontId="1" type="noConversion"/>
  </si>
  <si>
    <t>（4）企业的客户集中度虽高（超过60%），但客户实力强，信誉高、抗风险能力强；</t>
    <phoneticPr fontId="1" type="noConversion"/>
  </si>
  <si>
    <t>（5）企业定价机制反应灵敏；</t>
    <phoneticPr fontId="1" type="noConversion"/>
  </si>
  <si>
    <t>（6）企业预收机制运用充分；</t>
    <phoneticPr fontId="1" type="noConversion"/>
  </si>
  <si>
    <t>（7）企业产销比例达到75%（含）以上。</t>
    <phoneticPr fontId="1" type="noConversion"/>
  </si>
  <si>
    <t>产品市场地位</t>
    <phoneticPr fontId="1" type="noConversion"/>
  </si>
  <si>
    <t>起评分为0分，一项符合加1分，5分满分：（1）企业于细分行业内销售量排名前5位；</t>
    <phoneticPr fontId="1" type="noConversion"/>
  </si>
  <si>
    <t>（3）企业核心客户的稳定性好、忠诚度高；</t>
    <phoneticPr fontId="1" type="noConversion"/>
  </si>
  <si>
    <t>（4）企业为核心客户单一产品配套比例超过60%（或位于前列）。</t>
    <phoneticPr fontId="1" type="noConversion"/>
  </si>
  <si>
    <t>（5）企业拥有差别化很强的商品。</t>
    <phoneticPr fontId="1" type="noConversion"/>
  </si>
  <si>
    <t>企业竞争战略管理</t>
    <phoneticPr fontId="1" type="noConversion"/>
  </si>
  <si>
    <t>起评分为0分，一项符合加0.5分，4分满分：（1）企业致力于品牌建设，着力提高品牌知名度和影响力；</t>
    <phoneticPr fontId="1" type="noConversion"/>
  </si>
  <si>
    <t>（2）企业内部采用信息化管理，信息传达效率高；</t>
    <phoneticPr fontId="1" type="noConversion"/>
  </si>
  <si>
    <t>（3）企业成本控制能力极强；</t>
    <phoneticPr fontId="1" type="noConversion"/>
  </si>
  <si>
    <t>（4）适度扩张，投资机会把握能力强；</t>
    <phoneticPr fontId="1" type="noConversion"/>
  </si>
  <si>
    <t>（5）适度开展多样化经营，产品链（系列化）完善；</t>
    <phoneticPr fontId="1" type="noConversion"/>
  </si>
  <si>
    <t>（6）应变能力强，能根据市场（或客户）需求迅速调整经营策略；</t>
    <phoneticPr fontId="1" type="noConversion"/>
  </si>
  <si>
    <t>（7）选址佳（工业园区内），物流分配能力强，效率高；</t>
    <phoneticPr fontId="1" type="noConversion"/>
  </si>
  <si>
    <t>（8）充分运用优惠政策，拉大盈利空间。</t>
    <phoneticPr fontId="1" type="noConversion"/>
  </si>
  <si>
    <t>6</t>
    <phoneticPr fontId="1" type="noConversion"/>
  </si>
  <si>
    <t>技术研发</t>
    <phoneticPr fontId="1" type="noConversion"/>
  </si>
  <si>
    <t>起评分为0分，一项符合加0.5分，4分满分：（1）取得了关键客户的供应商认证；</t>
    <phoneticPr fontId="1" type="noConversion"/>
  </si>
  <si>
    <t>（2）被评为高新技术企业；</t>
    <phoneticPr fontId="1" type="noConversion"/>
  </si>
  <si>
    <t>（3）独占关键性生产技术并领先于行业；</t>
    <phoneticPr fontId="1" type="noConversion"/>
  </si>
  <si>
    <t>（4）参与编写行业技术规范；</t>
    <phoneticPr fontId="1" type="noConversion"/>
  </si>
  <si>
    <t>（5）重视研发，拥有专门的研发基地；</t>
    <phoneticPr fontId="1" type="noConversion"/>
  </si>
  <si>
    <t>（6）技术转化为成果能力强，有数项技术专利；</t>
    <phoneticPr fontId="1" type="noConversion"/>
  </si>
  <si>
    <t>（7）不存在可能的技术产权纠纷；</t>
    <phoneticPr fontId="1" type="noConversion"/>
  </si>
  <si>
    <t>（8）企业技术项目取得财政补贴（或税收优惠）。</t>
    <phoneticPr fontId="1" type="noConversion"/>
  </si>
  <si>
    <t>（四）</t>
    <phoneticPr fontId="1" type="noConversion"/>
  </si>
  <si>
    <t>行业分析</t>
    <phoneticPr fontId="1" type="noConversion"/>
  </si>
  <si>
    <t>行业政策环境</t>
    <phoneticPr fontId="1" type="noConversion"/>
  </si>
  <si>
    <t>政府鼓励发展、国家五年计划或新政策有利于行业发展的得1分；其余情况得0分。</t>
    <phoneticPr fontId="1" type="noConversion"/>
  </si>
  <si>
    <t>行业竞争</t>
    <phoneticPr fontId="1" type="noConversion"/>
  </si>
  <si>
    <t>起评分为0分，一项符合加0.5分，2分满分：（1）行业壁垒高；</t>
    <phoneticPr fontId="1" type="noConversion"/>
  </si>
  <si>
    <t>（2）行业容量大，行业内竞争有序；</t>
    <phoneticPr fontId="1" type="noConversion"/>
  </si>
  <si>
    <t>（3）短期内不会发生行业被替代；</t>
    <phoneticPr fontId="1" type="noConversion"/>
  </si>
  <si>
    <t>（4）行业间不存在恶性竞争。</t>
    <phoneticPr fontId="1" type="noConversion"/>
  </si>
  <si>
    <t>行业其他特征</t>
    <phoneticPr fontId="1" type="noConversion"/>
  </si>
  <si>
    <t>起评分为0分，一项符合加0.5分，3分满分：（1）行业收益率高于市场平均收益率；</t>
    <phoneticPr fontId="1" type="noConversion"/>
  </si>
  <si>
    <t>（2）行业的生命周期处于成长期或成熟期；</t>
    <phoneticPr fontId="1" type="noConversion"/>
  </si>
  <si>
    <t>（3）周期性行业处于复苏期至繁荣期；</t>
    <phoneticPr fontId="1" type="noConversion"/>
  </si>
  <si>
    <t>（4）行业受上下游行业的依赖性不大；</t>
    <phoneticPr fontId="1" type="noConversion"/>
  </si>
  <si>
    <t>（5）行业协会监管有力；</t>
    <phoneticPr fontId="1" type="noConversion"/>
  </si>
  <si>
    <t>（6）行业政策变动频率不高。</t>
    <phoneticPr fontId="1" type="noConversion"/>
  </si>
  <si>
    <t>（五）</t>
    <phoneticPr fontId="1" type="noConversion"/>
  </si>
  <si>
    <t>企业财务能力</t>
    <phoneticPr fontId="1" type="noConversion"/>
  </si>
  <si>
    <t>偿债能力</t>
    <phoneticPr fontId="1" type="noConversion"/>
  </si>
  <si>
    <t>（1）</t>
    <phoneticPr fontId="1" type="noConversion"/>
  </si>
  <si>
    <t>流动比率</t>
  </si>
  <si>
    <t>高于行业平均水平20%（含）~0%范围得2分；高于行业平均水平20%以上或低于行业平均水平0%（含）~10%范围得1.5分；低于行业平均水平10%（含）~20%范围得1分；其余不得分。</t>
    <phoneticPr fontId="1" type="noConversion"/>
  </si>
  <si>
    <t>（2）</t>
    <phoneticPr fontId="1" type="noConversion"/>
  </si>
  <si>
    <t>速动比率</t>
  </si>
  <si>
    <t>（3）</t>
    <phoneticPr fontId="1" type="noConversion"/>
  </si>
  <si>
    <t>资产负债率</t>
  </si>
  <si>
    <t>偏离行业平均水平-20%（含）~5%范围得2分；低于行业平均水平20%以上或高于行业平均水平5%（含）~10%范围得1.5分；高于行业平均水平10%（含）~20%范围得1分；高于行业平均水平20%（含）以上，但连年指标平稳得0.5分；其余不得分。</t>
    <phoneticPr fontId="1" type="noConversion"/>
  </si>
  <si>
    <t>（4）</t>
    <phoneticPr fontId="1" type="noConversion"/>
  </si>
  <si>
    <t>已获利息倍数</t>
    <phoneticPr fontId="1" type="noConversion"/>
  </si>
  <si>
    <t>大于1，且前3个会计年度平稳或逐年升高得2分；大于1，前3个会计年度走势不稳得1.5分；大于1，但前3个会计年度逐年降低得1分；其余不得分。</t>
    <phoneticPr fontId="1" type="noConversion"/>
  </si>
  <si>
    <t>盈利能力</t>
    <phoneticPr fontId="1" type="noConversion"/>
  </si>
  <si>
    <t>净资产收益率</t>
  </si>
  <si>
    <t>高于行业平均水平20%（含）以上得2分；高于行业平均水平20%~10%（含）范围得1.5分；高于行业平均水平10%~0%（含）范围得1分；低于行业平均水平0%~10%（含）范围得0.5分；其余不得分。</t>
    <phoneticPr fontId="1" type="noConversion"/>
  </si>
  <si>
    <t>资产净利率</t>
  </si>
  <si>
    <t>毛利率</t>
  </si>
  <si>
    <t>销售净利率</t>
  </si>
  <si>
    <t>营运能力</t>
    <phoneticPr fontId="1" type="noConversion"/>
  </si>
  <si>
    <t>应收账款周转率</t>
  </si>
  <si>
    <t>存货周转率</t>
  </si>
  <si>
    <t>流动资产周转率</t>
  </si>
  <si>
    <t>总资产周转率</t>
  </si>
  <si>
    <t>发展能力</t>
    <phoneticPr fontId="1" type="noConversion"/>
  </si>
  <si>
    <t>高于行业平均水平10%（含）以上得1分，高于行业平均水平10%~0%（含）范围得0.5分；成熟期企业三年收入水平稳定得0.5分；其余不得分。</t>
    <phoneticPr fontId="1" type="noConversion"/>
  </si>
  <si>
    <t>净利润增长率</t>
  </si>
  <si>
    <t>高于行业平均水平10%（含）以上得1分，高于行业平均水平10%~0%（含）范围得0.5分；成熟期企业三年净利润水平稳定得0.5分；其余不得分。</t>
    <phoneticPr fontId="1" type="noConversion"/>
  </si>
  <si>
    <t>总资产增长率</t>
  </si>
  <si>
    <t>高于行业平均水平10%（含）以上得1分，高于行业平均水平10%~0%（含）范围得0.5分；成熟期企业三年总资产水平稳定得0.5分；其余不得分。</t>
    <phoneticPr fontId="1" type="noConversion"/>
  </si>
  <si>
    <t>净资产增长率</t>
  </si>
  <si>
    <t>高于行业平均水平10%（含）以上得1分，高于行业平均水平10%~0%（含）范围得0.5分；成熟期企业三年净资产水平稳定得0.5分；其余不得分。</t>
    <phoneticPr fontId="1" type="noConversion"/>
  </si>
  <si>
    <t>（5）</t>
    <phoneticPr fontId="1" type="noConversion"/>
  </si>
  <si>
    <t>固定资产成新率（简算）</t>
    <phoneticPr fontId="1" type="noConversion"/>
  </si>
  <si>
    <t>高于70%（含）得1分；50%（含）-70%得0.5分；其余不得分。</t>
    <phoneticPr fontId="1" type="noConversion"/>
  </si>
  <si>
    <t>现金流评价</t>
    <phoneticPr fontId="1" type="noConversion"/>
  </si>
  <si>
    <t>营业现金回笼率</t>
    <phoneticPr fontId="1" type="noConversion"/>
  </si>
  <si>
    <t>高于行业平均水平10%（含）以上得1分，高于行业平均水平10%~0%（含）范围得0.5分；其余不得分。</t>
    <phoneticPr fontId="1" type="noConversion"/>
  </si>
  <si>
    <t>现金购销比率</t>
    <phoneticPr fontId="1" type="noConversion"/>
  </si>
  <si>
    <t>与商品销售成本率偏离5%（含）范围内得1分；与商品销售成本率偏离5%-10%（含）范围内得0.5分；其余不得分。</t>
    <phoneticPr fontId="1" type="noConversion"/>
  </si>
  <si>
    <t>银行融资能力运用</t>
    <phoneticPr fontId="1" type="noConversion"/>
  </si>
  <si>
    <t>起评分为2分，一项符合扣0.5分，扣完为止：（1）银行借款利率高于基准利率上浮20%水平；</t>
    <phoneticPr fontId="1" type="noConversion"/>
  </si>
  <si>
    <t>（2）企业规模较小，但借款来源过于分散，超过5家（不含）以上银行；</t>
    <phoneticPr fontId="1" type="noConversion"/>
  </si>
  <si>
    <t>（3）大股东占款规模巨大；</t>
    <phoneticPr fontId="1" type="noConversion"/>
  </si>
  <si>
    <t>（4）大量运用互为保证借款。</t>
    <phoneticPr fontId="1" type="noConversion"/>
  </si>
  <si>
    <t>再融资能力</t>
    <phoneticPr fontId="1" type="noConversion"/>
  </si>
  <si>
    <t>企业可作担保资产已抵押比例小于60%（含）得1分；可作担保资产已抵押比例达到60%-80%（含）得0.5分；其余不得分。</t>
    <phoneticPr fontId="1" type="noConversion"/>
  </si>
  <si>
    <t>财务结构及趋势分析</t>
    <phoneticPr fontId="1" type="noConversion"/>
  </si>
  <si>
    <t>流动资产占总资产比率</t>
    <phoneticPr fontId="1" type="noConversion"/>
  </si>
  <si>
    <t>制造业55%左右的流动资产比率较为合理，指标50%-60%得1分；指标偏出上述范围，但连续3年稳定得0.5分；其余不得分。</t>
    <phoneticPr fontId="1" type="noConversion"/>
  </si>
  <si>
    <t>流动负债占总负债比率</t>
    <phoneticPr fontId="1" type="noConversion"/>
  </si>
  <si>
    <t>制造业90%左右的流动负债比率较为合理，指标80%-100%得1分；指标偏出上述范围，但连续3年稳定得0.5分；其余不得分。</t>
    <phoneticPr fontId="1" type="noConversion"/>
  </si>
  <si>
    <t>期间费用占营业收入比率的趋势</t>
    <phoneticPr fontId="1" type="noConversion"/>
  </si>
  <si>
    <t>连续三年稳定，各年指标与3年平均指标之差小于1%（含）得1分；连续三年较稳定，各年指标与3年平均指标之差大于1%小于2%（含）得0.5分；企业推行节约费用举措，连续大幅下降得0.5分；其余不得分。</t>
    <phoneticPr fontId="1" type="noConversion"/>
  </si>
  <si>
    <t>财务指标稳定性</t>
    <phoneticPr fontId="1" type="noConversion"/>
  </si>
  <si>
    <t>四项财务能力（盈利、偿债、营运、发展）指标，在连续三个财务年度持续走强或稳定的，得1分；四项中任意三项指标在连续三个财务年度均持续走强或稳定的，得0.5分；其余不得分。</t>
    <phoneticPr fontId="1" type="noConversion"/>
  </si>
  <si>
    <t>二</t>
    <phoneticPr fontId="1" type="noConversion"/>
  </si>
  <si>
    <t>担保方式的有效性</t>
  </si>
  <si>
    <t>项目担保手段有效，保证人或抵质押资产符合相关规定得1分，其余不得分。</t>
    <phoneticPr fontId="1" type="noConversion"/>
  </si>
  <si>
    <t>担保追偿的难度</t>
  </si>
  <si>
    <t>担保的足值性</t>
    <phoneticPr fontId="1" type="noConversion"/>
  </si>
  <si>
    <t>担保足值比率大于等于1.2，得5分；担保足值比率大于等于1.1小于1.2，得4分；担保足值比率大于等于1.05小于1.1，得3分；担保足值比率大于等于1.0小于1.05，得2分；担保足值比率大于等于0.95小于1.0，得1分；其余不得分。</t>
    <phoneticPr fontId="1" type="noConversion"/>
  </si>
  <si>
    <t>担保的法律风险</t>
    <phoneticPr fontId="1" type="noConversion"/>
  </si>
  <si>
    <t>担保登记程序等法律程序完整得2分，其余不得分。</t>
    <phoneticPr fontId="1" type="noConversion"/>
  </si>
  <si>
    <t>三</t>
    <phoneticPr fontId="1" type="noConversion"/>
  </si>
  <si>
    <t>标的资产价格公允性</t>
    <phoneticPr fontId="1" type="noConversion"/>
  </si>
  <si>
    <t>购入资产的价格低于(含等于）公允价值得2分；高于公允价值2%（含）以内得1分；其余得0分。</t>
    <phoneticPr fontId="1" type="noConversion"/>
  </si>
  <si>
    <t>标的资产流通变现性</t>
    <phoneticPr fontId="1" type="noConversion"/>
  </si>
  <si>
    <t>单台价值小于200万元（含）的通用设备和金属加工设备，单台价值小于60万元（含）的交通运输设备和电气设备（可搬迁）得4分；非4分类的通用设备、金属加工设备、交通运输设备和电气设备，单台价值小于200万元（含）的工程机械、医疗器械,单台价值小于50万（含）的木工加工设备（可搬迁）得3分；非3分类的工程机械、医疗器械、木工加工设备，中型以下的矿业、炼化、电力、农林牧渔、食品饮料、粮油饲料、纺织缝纫、化工设备得2分；大型矿业、炼化、电力、农林牧渔、食品饮料、粮油饲料、纺织缝纫、化工设备得1分；其他设备得0分。</t>
    <phoneticPr fontId="1" type="noConversion"/>
  </si>
  <si>
    <t>标的资产供应商资信</t>
    <phoneticPr fontId="1" type="noConversion"/>
  </si>
  <si>
    <t>（非厂商）回租赁项目得2分。合作供应商起评分2分；为知名厂家，货品质量及履约能力有保证的供应商起评分2分；其余供应商起评分1分。与我司合作或经了解到，曾经有过推迟交货情形的厂家，扣0.5分；与我司合作或经了解到，设备出现过质量问题的厂家（品牌），扣0.5分。</t>
    <phoneticPr fontId="1" type="noConversion"/>
  </si>
  <si>
    <t>标的资产保值性</t>
    <phoneticPr fontId="1" type="noConversion"/>
  </si>
  <si>
    <t>设备的剩余经济使用年限长于租赁期一倍（含）以上得2分；设备的剩余经济使用年限长于（或等于）租赁期但短于一倍得1分；其余不得分。</t>
    <phoneticPr fontId="1" type="noConversion"/>
  </si>
  <si>
    <t>商务评价</t>
    <phoneticPr fontId="1" type="noConversion"/>
  </si>
  <si>
    <t>（2）企业细分市场市场占有率达到20%以上；</t>
    <phoneticPr fontId="1" type="noConversion"/>
  </si>
  <si>
    <t>编制单位: 某公司</t>
    <phoneticPr fontId="1" type="noConversion"/>
  </si>
  <si>
    <t>担保评价(法务）</t>
    <phoneticPr fontId="1" type="noConversion"/>
  </si>
  <si>
    <t>法务经理签字：</t>
    <phoneticPr fontId="1" type="noConversion"/>
  </si>
  <si>
    <t>评审经理签字：</t>
    <phoneticPr fontId="1" type="noConversion"/>
  </si>
  <si>
    <t>商务经理签字：</t>
    <phoneticPr fontId="1" type="noConversion"/>
  </si>
  <si>
    <t>合作供应商回购担保得2分；通用机器设备抵押得2分；优质企业连带保证得2分；房屋及土地抵押得2分；股权质押得2分；非合作供应商回购担保得1分；专用机器设备抵押得1分；一般企业及关联方连带保证得1分；供应商担保得1分；自然人保证得0.5分；其余不得分。超过5分的多项担保，按权重计算。</t>
    <phoneticPr fontId="1" type="noConversion"/>
  </si>
  <si>
    <t>一</t>
    <phoneticPr fontId="1" type="noConversion"/>
  </si>
  <si>
    <t>企业评价</t>
    <phoneticPr fontId="1" type="noConversion"/>
  </si>
  <si>
    <t>四</t>
    <phoneticPr fontId="1" type="noConversion"/>
  </si>
  <si>
    <t>总分</t>
    <phoneticPr fontId="1" type="noConversion"/>
  </si>
  <si>
    <t>五</t>
    <phoneticPr fontId="1" type="noConversion"/>
  </si>
  <si>
    <t>六</t>
    <phoneticPr fontId="1" type="noConversion"/>
  </si>
  <si>
    <t>实得分</t>
    <phoneticPr fontId="1" type="noConversion"/>
  </si>
  <si>
    <t>七</t>
    <phoneticPr fontId="1" type="noConversion"/>
  </si>
  <si>
    <t>八</t>
    <phoneticPr fontId="1" type="noConversion"/>
  </si>
  <si>
    <t>利率、费率、收益率审核</t>
    <phoneticPr fontId="1" type="noConversion"/>
  </si>
  <si>
    <t>九</t>
    <phoneticPr fontId="1" type="noConversion"/>
  </si>
  <si>
    <t>法务意见</t>
    <phoneticPr fontId="1" type="noConversion"/>
  </si>
  <si>
    <t>十</t>
    <phoneticPr fontId="1" type="noConversion"/>
  </si>
  <si>
    <t>商务意见</t>
    <phoneticPr fontId="1" type="noConversion"/>
  </si>
  <si>
    <t>十一</t>
    <phoneticPr fontId="1" type="noConversion"/>
  </si>
  <si>
    <t>评审意见</t>
    <phoneticPr fontId="1" type="noConversion"/>
  </si>
  <si>
    <t>披露事项（表外事项）</t>
    <phoneticPr fontId="1" type="noConversion"/>
  </si>
  <si>
    <t>三年利润平均增长率＝[（年末利润总额/三年前年末利润总额)1 / 3 －1]×100%</t>
    <phoneticPr fontId="1" type="noConversion"/>
  </si>
  <si>
    <t>特殊加分、扣分事项（最高10分）</t>
    <phoneticPr fontId="1" type="noConversion"/>
  </si>
  <si>
    <t>BBS项目审查计分表（适用于工业企业）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</si>
</sst>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8" formatCode="&quot;¥&quot;#,##0.00;[Red]&quot;¥&quot;\-#,##0.00"/>
    <numFmt numFmtId="43" formatCode="_ * #,##0.00_ ;_ * \-#,##0.00_ ;_ * &quot;-&quot;??_ ;_ @_ "/>
    <numFmt numFmtId="176" formatCode="0.00_);[Red]\(0.00\)"/>
    <numFmt numFmtId="177" formatCode="0.0_ "/>
    <numFmt numFmtId="178" formatCode="0.00_ "/>
    <numFmt numFmtId="179" formatCode="#,##0.00_);[Red]\(#,##0.00\)"/>
    <numFmt numFmtId="180" formatCode="#,##0.00_ "/>
    <numFmt numFmtId="181" formatCode="#,##0_ "/>
    <numFmt numFmtId="182" formatCode="&quot;¥&quot;#,##0.00_);[Red]\(&quot;¥&quot;#,##0.00\)"/>
    <numFmt numFmtId="183" formatCode="yyyy&quot;年&quot;m&quot;月&quot;;@"/>
    <numFmt numFmtId="184" formatCode="0.0%"/>
    <numFmt numFmtId="185" formatCode="_ * #,##0_ ;_ * \-#,##0_ ;_ * &quot;-&quot;??_ ;_ @_ "/>
    <numFmt numFmtId="186" formatCode="#,##0.00_ ;[Red]\-#,##0.00\ "/>
  </numFmts>
  <fonts count="27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0"/>
      <name val="Times New Roman"/>
      <family val="1"/>
    </font>
    <font>
      <b/>
      <sz val="10"/>
      <name val="楷体"/>
      <family val="3"/>
      <charset val="134"/>
    </font>
    <font>
      <sz val="10"/>
      <name val="Times New Roman"/>
      <family val="1"/>
    </font>
    <font>
      <b/>
      <sz val="10"/>
      <name val="宋体"/>
      <family val="3"/>
      <charset val="134"/>
    </font>
    <font>
      <sz val="10"/>
      <name val="楷体"/>
      <family val="3"/>
      <charset val="134"/>
    </font>
    <font>
      <b/>
      <sz val="14"/>
      <name val="宋体"/>
      <family val="3"/>
      <charset val="134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宋体"/>
      <family val="3"/>
      <charset val="134"/>
    </font>
    <font>
      <sz val="10"/>
      <color indexed="9"/>
      <name val="宋体"/>
      <family val="3"/>
      <charset val="134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0"/>
      <name val="宋体"/>
      <family val="3"/>
      <charset val="134"/>
    </font>
    <font>
      <b/>
      <sz val="10"/>
      <name val="Arial"/>
      <family val="2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color indexed="9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8">
    <xf numFmtId="0" fontId="0" fillId="0" borderId="0" xfId="0"/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179" fontId="9" fillId="0" borderId="1" xfId="0" applyNumberFormat="1" applyFont="1" applyFill="1" applyBorder="1" applyAlignment="1" applyProtection="1">
      <alignment horizontal="right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protection locked="0"/>
    </xf>
    <xf numFmtId="176" fontId="3" fillId="0" borderId="1" xfId="0" applyNumberFormat="1" applyFont="1" applyFill="1" applyBorder="1" applyAlignment="1" applyProtection="1">
      <protection locked="0"/>
    </xf>
    <xf numFmtId="176" fontId="10" fillId="0" borderId="1" xfId="0" applyNumberFormat="1" applyFont="1" applyFill="1" applyBorder="1" applyAlignment="1" applyProtection="1">
      <protection locked="0"/>
    </xf>
    <xf numFmtId="0" fontId="9" fillId="0" borderId="0" xfId="0" applyFont="1" applyFill="1" applyBorder="1"/>
    <xf numFmtId="176" fontId="9" fillId="0" borderId="0" xfId="0" applyNumberFormat="1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protection locked="0"/>
    </xf>
    <xf numFmtId="57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protection locked="0"/>
    </xf>
    <xf numFmtId="2" fontId="3" fillId="0" borderId="0" xfId="0" applyNumberFormat="1" applyFont="1" applyFill="1" applyBorder="1" applyAlignment="1" applyProtection="1">
      <alignment horizontal="right"/>
      <protection locked="0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179" fontId="9" fillId="0" borderId="0" xfId="0" applyNumberFormat="1" applyFont="1" applyFill="1" applyBorder="1" applyAlignment="1" applyProtection="1">
      <alignment horizontal="right"/>
      <protection locked="0"/>
    </xf>
    <xf numFmtId="8" fontId="9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181" fontId="3" fillId="0" borderId="0" xfId="2" applyNumberFormat="1" applyFont="1" applyFill="1" applyBorder="1"/>
    <xf numFmtId="10" fontId="3" fillId="0" borderId="0" xfId="1" applyNumberFormat="1" applyFont="1" applyFill="1" applyBorder="1"/>
    <xf numFmtId="0" fontId="11" fillId="0" borderId="0" xfId="0" applyFont="1" applyFill="1" applyBorder="1" applyAlignment="1" applyProtection="1">
      <protection locked="0"/>
    </xf>
    <xf numFmtId="2" fontId="9" fillId="0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protection locked="0"/>
    </xf>
    <xf numFmtId="0" fontId="14" fillId="0" borderId="0" xfId="0" applyFont="1" applyFill="1" applyBorder="1"/>
    <xf numFmtId="0" fontId="9" fillId="0" borderId="0" xfId="0" applyFont="1"/>
    <xf numFmtId="0" fontId="3" fillId="0" borderId="0" xfId="0" applyFont="1" applyFill="1" applyAlignment="1" applyProtection="1">
      <protection locked="0"/>
    </xf>
    <xf numFmtId="0" fontId="9" fillId="0" borderId="1" xfId="0" applyFont="1" applyBorder="1"/>
    <xf numFmtId="182" fontId="9" fillId="0" borderId="1" xfId="0" applyNumberFormat="1" applyFont="1" applyFill="1" applyBorder="1" applyAlignment="1" applyProtection="1">
      <alignment horizontal="center"/>
      <protection locked="0"/>
    </xf>
    <xf numFmtId="179" fontId="9" fillId="2" borderId="1" xfId="0" applyNumberFormat="1" applyFont="1" applyFill="1" applyBorder="1" applyAlignment="1" applyProtection="1">
      <alignment horizontal="right"/>
      <protection locked="0"/>
    </xf>
    <xf numFmtId="0" fontId="11" fillId="0" borderId="1" xfId="0" applyFont="1" applyBorder="1"/>
    <xf numFmtId="0" fontId="8" fillId="0" borderId="1" xfId="0" applyFont="1" applyBorder="1"/>
    <xf numFmtId="4" fontId="9" fillId="0" borderId="1" xfId="0" applyNumberFormat="1" applyFont="1" applyBorder="1"/>
    <xf numFmtId="0" fontId="9" fillId="0" borderId="2" xfId="0" applyFont="1" applyBorder="1"/>
    <xf numFmtId="4" fontId="9" fillId="0" borderId="2" xfId="0" applyNumberFormat="1" applyFont="1" applyBorder="1"/>
    <xf numFmtId="0" fontId="11" fillId="0" borderId="1" xfId="0" applyFont="1" applyBorder="1" applyAlignment="1">
      <alignment horizontal="center"/>
    </xf>
    <xf numFmtId="4" fontId="9" fillId="0" borderId="0" xfId="0" applyNumberFormat="1" applyFont="1" applyBorder="1"/>
    <xf numFmtId="0" fontId="14" fillId="0" borderId="0" xfId="0" applyFont="1"/>
    <xf numFmtId="0" fontId="8" fillId="0" borderId="1" xfId="0" applyFont="1" applyBorder="1" applyAlignment="1">
      <alignment horizont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Fill="1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0" xfId="0" applyFont="1" applyFill="1"/>
    <xf numFmtId="2" fontId="3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3" xfId="0" applyFont="1" applyFill="1" applyBorder="1" applyAlignment="1" applyProtection="1">
      <protection locked="0"/>
    </xf>
    <xf numFmtId="2" fontId="3" fillId="0" borderId="0" xfId="0" applyNumberFormat="1" applyFont="1" applyFill="1" applyAlignment="1" applyProtection="1">
      <alignment horizontal="right" vertical="center"/>
      <protection locked="0"/>
    </xf>
    <xf numFmtId="0" fontId="11" fillId="0" borderId="1" xfId="0" applyFont="1" applyFill="1" applyBorder="1"/>
    <xf numFmtId="0" fontId="11" fillId="0" borderId="0" xfId="0" applyFont="1" applyFill="1" applyBorder="1"/>
    <xf numFmtId="9" fontId="3" fillId="0" borderId="1" xfId="1" applyFont="1" applyFill="1" applyBorder="1"/>
    <xf numFmtId="184" fontId="3" fillId="0" borderId="1" xfId="1" applyNumberFormat="1" applyFont="1" applyFill="1" applyBorder="1"/>
    <xf numFmtId="177" fontId="3" fillId="0" borderId="1" xfId="1" applyNumberFormat="1" applyFont="1" applyFill="1" applyBorder="1"/>
    <xf numFmtId="0" fontId="3" fillId="0" borderId="1" xfId="0" applyFont="1" applyFill="1" applyBorder="1"/>
    <xf numFmtId="0" fontId="11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left"/>
      <protection locked="0"/>
    </xf>
    <xf numFmtId="0" fontId="3" fillId="0" borderId="1" xfId="1" applyNumberFormat="1" applyFont="1" applyFill="1" applyBorder="1"/>
    <xf numFmtId="9" fontId="3" fillId="0" borderId="0" xfId="1" applyFont="1" applyFill="1" applyBorder="1"/>
    <xf numFmtId="184" fontId="3" fillId="0" borderId="0" xfId="1" applyNumberFormat="1" applyFont="1" applyFill="1" applyBorder="1"/>
    <xf numFmtId="177" fontId="3" fillId="0" borderId="0" xfId="1" applyNumberFormat="1" applyFont="1" applyFill="1" applyBorder="1"/>
    <xf numFmtId="183" fontId="3" fillId="0" borderId="0" xfId="0" applyNumberFormat="1" applyFont="1" applyFill="1" applyAlignment="1" applyProtection="1">
      <protection locked="0"/>
    </xf>
    <xf numFmtId="17" fontId="3" fillId="0" borderId="0" xfId="0" applyNumberFormat="1" applyFont="1" applyFill="1"/>
    <xf numFmtId="183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85" fontId="9" fillId="0" borderId="1" xfId="2" applyNumberFormat="1" applyFont="1" applyFill="1" applyBorder="1" applyAlignment="1" applyProtection="1">
      <protection locked="0"/>
    </xf>
    <xf numFmtId="185" fontId="9" fillId="0" borderId="1" xfId="2" applyNumberFormat="1" applyFont="1" applyFill="1" applyBorder="1" applyAlignment="1" applyProtection="1">
      <alignment horizontal="center"/>
      <protection locked="0"/>
    </xf>
    <xf numFmtId="185" fontId="9" fillId="0" borderId="1" xfId="2" applyNumberFormat="1" applyFont="1" applyFill="1" applyBorder="1" applyAlignment="1" applyProtection="1">
      <alignment horizontal="right"/>
      <protection locked="0"/>
    </xf>
    <xf numFmtId="185" fontId="3" fillId="0" borderId="1" xfId="2" applyNumberFormat="1" applyFont="1" applyFill="1" applyBorder="1" applyAlignment="1" applyProtection="1">
      <alignment horizontal="right"/>
      <protection locked="0"/>
    </xf>
    <xf numFmtId="185" fontId="7" fillId="0" borderId="1" xfId="2" applyNumberFormat="1" applyFont="1" applyFill="1" applyBorder="1" applyAlignment="1" applyProtection="1">
      <alignment horizontal="right"/>
      <protection locked="0"/>
    </xf>
    <xf numFmtId="185" fontId="7" fillId="0" borderId="1" xfId="2" applyNumberFormat="1" applyFont="1" applyFill="1" applyBorder="1" applyAlignment="1" applyProtection="1">
      <alignment horizontal="right" vertical="center"/>
      <protection locked="0"/>
    </xf>
    <xf numFmtId="185" fontId="7" fillId="0" borderId="1" xfId="2" applyNumberFormat="1" applyFont="1" applyFill="1" applyBorder="1" applyAlignment="1" applyProtection="1">
      <protection locked="0"/>
    </xf>
    <xf numFmtId="185" fontId="16" fillId="0" borderId="1" xfId="2" applyNumberFormat="1" applyFont="1" applyFill="1" applyBorder="1" applyAlignment="1" applyProtection="1">
      <alignment horizontal="right"/>
      <protection locked="0"/>
    </xf>
    <xf numFmtId="183" fontId="8" fillId="4" borderId="4" xfId="0" applyNumberFormat="1" applyFont="1" applyFill="1" applyBorder="1" applyAlignment="1" applyProtection="1">
      <alignment horizontal="center" vertical="center" wrapText="1"/>
      <protection locked="0"/>
    </xf>
    <xf numFmtId="183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8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85" fontId="9" fillId="0" borderId="1" xfId="2" applyNumberFormat="1" applyFont="1" applyBorder="1"/>
    <xf numFmtId="0" fontId="3" fillId="0" borderId="5" xfId="0" applyFont="1" applyFill="1" applyBorder="1" applyAlignment="1" applyProtection="1">
      <protection locked="0"/>
    </xf>
    <xf numFmtId="185" fontId="3" fillId="0" borderId="1" xfId="2" applyNumberFormat="1" applyFont="1" applyFill="1" applyBorder="1" applyAlignment="1" applyProtection="1">
      <protection locked="0"/>
    </xf>
    <xf numFmtId="0" fontId="1" fillId="0" borderId="0" xfId="0" applyFont="1"/>
    <xf numFmtId="0" fontId="3" fillId="0" borderId="0" xfId="0" applyFont="1" applyAlignment="1">
      <alignment horizontal="left"/>
    </xf>
    <xf numFmtId="179" fontId="17" fillId="0" borderId="1" xfId="0" applyNumberFormat="1" applyFont="1" applyFill="1" applyBorder="1" applyAlignment="1">
      <alignment vertical="center" shrinkToFit="1"/>
    </xf>
    <xf numFmtId="43" fontId="17" fillId="0" borderId="1" xfId="0" applyNumberFormat="1" applyFont="1" applyFill="1" applyBorder="1" applyAlignment="1">
      <alignment vertical="center" shrinkToFit="1"/>
    </xf>
    <xf numFmtId="43" fontId="17" fillId="0" borderId="1" xfId="0" quotePrefix="1" applyNumberFormat="1" applyFont="1" applyFill="1" applyBorder="1" applyAlignment="1" applyProtection="1">
      <alignment horizontal="center" vertical="center"/>
      <protection locked="0"/>
    </xf>
    <xf numFmtId="178" fontId="3" fillId="0" borderId="1" xfId="1" applyNumberFormat="1" applyFont="1" applyFill="1" applyBorder="1"/>
    <xf numFmtId="10" fontId="3" fillId="0" borderId="1" xfId="1" applyNumberFormat="1" applyFont="1" applyFill="1" applyBorder="1"/>
    <xf numFmtId="178" fontId="3" fillId="0" borderId="1" xfId="1" applyNumberFormat="1" applyFont="1" applyFill="1" applyBorder="1" applyAlignment="1">
      <alignment horizontal="right"/>
    </xf>
    <xf numFmtId="179" fontId="2" fillId="0" borderId="1" xfId="0" applyNumberFormat="1" applyFont="1" applyBorder="1" applyAlignment="1">
      <alignment horizontal="right" vertical="center" shrinkToFit="1"/>
    </xf>
    <xf numFmtId="179" fontId="2" fillId="5" borderId="1" xfId="0" applyNumberFormat="1" applyFont="1" applyFill="1" applyBorder="1" applyAlignment="1">
      <alignment horizontal="right" vertical="center" shrinkToFit="1"/>
    </xf>
    <xf numFmtId="180" fontId="9" fillId="0" borderId="1" xfId="2" applyNumberFormat="1" applyFont="1" applyBorder="1"/>
    <xf numFmtId="43" fontId="9" fillId="0" borderId="1" xfId="2" applyFont="1" applyBorder="1"/>
    <xf numFmtId="179" fontId="9" fillId="0" borderId="6" xfId="0" applyNumberFormat="1" applyFont="1" applyFill="1" applyBorder="1" applyAlignment="1">
      <alignment vertical="center" shrinkToFit="1"/>
    </xf>
    <xf numFmtId="179" fontId="9" fillId="0" borderId="1" xfId="0" applyNumberFormat="1" applyFont="1" applyFill="1" applyBorder="1" applyAlignment="1">
      <alignment vertical="center" shrinkToFit="1"/>
    </xf>
    <xf numFmtId="43" fontId="9" fillId="0" borderId="1" xfId="0" applyNumberFormat="1" applyFont="1" applyFill="1" applyBorder="1" applyAlignment="1">
      <alignment vertical="center" shrinkToFit="1"/>
    </xf>
    <xf numFmtId="10" fontId="9" fillId="0" borderId="0" xfId="1" applyNumberFormat="1" applyFont="1" applyFill="1" applyBorder="1" applyAlignment="1" applyProtection="1">
      <protection locked="0"/>
    </xf>
    <xf numFmtId="180" fontId="9" fillId="0" borderId="7" xfId="0" applyNumberFormat="1" applyFont="1" applyFill="1" applyBorder="1" applyAlignment="1" applyProtection="1">
      <alignment vertical="center"/>
      <protection hidden="1"/>
    </xf>
    <xf numFmtId="180" fontId="2" fillId="0" borderId="1" xfId="0" applyNumberFormat="1" applyFont="1" applyBorder="1" applyAlignment="1">
      <alignment horizontal="right" vertical="center" shrinkToFit="1"/>
    </xf>
    <xf numFmtId="180" fontId="2" fillId="5" borderId="1" xfId="0" applyNumberFormat="1" applyFont="1" applyFill="1" applyBorder="1" applyAlignment="1">
      <alignment horizontal="right" vertical="center" shrinkToFit="1"/>
    </xf>
    <xf numFmtId="179" fontId="9" fillId="0" borderId="1" xfId="0" applyNumberFormat="1" applyFont="1" applyBorder="1"/>
    <xf numFmtId="43" fontId="9" fillId="0" borderId="1" xfId="2" applyFont="1" applyFill="1" applyBorder="1" applyAlignment="1" applyProtection="1">
      <alignment horizontal="right"/>
      <protection locked="0"/>
    </xf>
    <xf numFmtId="43" fontId="2" fillId="5" borderId="1" xfId="0" applyNumberFormat="1" applyFont="1" applyFill="1" applyBorder="1" applyAlignment="1">
      <alignment horizontal="right" vertical="center" shrinkToFit="1"/>
    </xf>
    <xf numFmtId="43" fontId="9" fillId="0" borderId="2" xfId="0" applyNumberFormat="1" applyFont="1" applyBorder="1"/>
    <xf numFmtId="43" fontId="9" fillId="0" borderId="2" xfId="0" applyNumberFormat="1" applyFont="1" applyFill="1" applyBorder="1"/>
    <xf numFmtId="43" fontId="9" fillId="0" borderId="1" xfId="0" applyNumberFormat="1" applyFont="1" applyBorder="1"/>
    <xf numFmtId="180" fontId="9" fillId="0" borderId="1" xfId="0" applyNumberFormat="1" applyFont="1" applyFill="1" applyBorder="1" applyAlignment="1">
      <alignment vertical="center" shrinkToFit="1"/>
    </xf>
    <xf numFmtId="180" fontId="9" fillId="0" borderId="1" xfId="2" applyNumberFormat="1" applyFont="1" applyFill="1" applyBorder="1" applyAlignment="1" applyProtection="1">
      <alignment horizontal="right"/>
      <protection locked="0"/>
    </xf>
    <xf numFmtId="180" fontId="9" fillId="0" borderId="1" xfId="0" applyNumberFormat="1" applyFont="1" applyBorder="1"/>
    <xf numFmtId="43" fontId="20" fillId="5" borderId="1" xfId="0" applyNumberFormat="1" applyFont="1" applyFill="1" applyBorder="1" applyAlignment="1">
      <alignment vertical="center"/>
    </xf>
    <xf numFmtId="180" fontId="20" fillId="5" borderId="1" xfId="0" applyNumberFormat="1" applyFont="1" applyFill="1" applyBorder="1" applyAlignment="1">
      <alignment vertical="center"/>
    </xf>
    <xf numFmtId="43" fontId="2" fillId="5" borderId="1" xfId="0" applyNumberFormat="1" applyFont="1" applyFill="1" applyBorder="1" applyAlignment="1">
      <alignment horizontal="right"/>
    </xf>
    <xf numFmtId="43" fontId="20" fillId="5" borderId="1" xfId="0" applyNumberFormat="1" applyFont="1" applyFill="1" applyBorder="1"/>
    <xf numFmtId="4" fontId="7" fillId="0" borderId="1" xfId="0" applyNumberFormat="1" applyFont="1" applyBorder="1"/>
    <xf numFmtId="186" fontId="9" fillId="0" borderId="1" xfId="2" applyNumberFormat="1" applyFont="1" applyFill="1" applyBorder="1" applyAlignment="1">
      <alignment vertical="center" shrinkToFit="1"/>
    </xf>
    <xf numFmtId="4" fontId="9" fillId="0" borderId="1" xfId="0" applyNumberFormat="1" applyFont="1" applyFill="1" applyBorder="1" applyAlignment="1">
      <alignment vertical="center" shrinkToFit="1"/>
    </xf>
    <xf numFmtId="4" fontId="20" fillId="5" borderId="1" xfId="2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right" vertical="center" shrinkToFit="1"/>
    </xf>
    <xf numFmtId="4" fontId="2" fillId="5" borderId="1" xfId="0" applyNumberFormat="1" applyFont="1" applyFill="1" applyBorder="1" applyAlignment="1">
      <alignment horizontal="right" vertical="center" shrinkToFit="1"/>
    </xf>
    <xf numFmtId="183" fontId="9" fillId="0" borderId="0" xfId="0" applyNumberFormat="1" applyFont="1"/>
    <xf numFmtId="43" fontId="9" fillId="0" borderId="0" xfId="0" applyNumberFormat="1" applyFont="1"/>
    <xf numFmtId="180" fontId="9" fillId="0" borderId="0" xfId="0" applyNumberFormat="1" applyFont="1"/>
    <xf numFmtId="4" fontId="9" fillId="0" borderId="0" xfId="0" applyNumberFormat="1" applyFont="1"/>
    <xf numFmtId="185" fontId="9" fillId="0" borderId="0" xfId="0" applyNumberFormat="1" applyFont="1"/>
    <xf numFmtId="43" fontId="3" fillId="0" borderId="0" xfId="0" applyNumberFormat="1" applyFont="1" applyFill="1"/>
    <xf numFmtId="180" fontId="3" fillId="0" borderId="0" xfId="0" applyNumberFormat="1" applyFont="1" applyFill="1"/>
    <xf numFmtId="4" fontId="3" fillId="0" borderId="0" xfId="0" applyNumberFormat="1" applyFont="1" applyFill="1"/>
    <xf numFmtId="185" fontId="3" fillId="0" borderId="0" xfId="0" applyNumberFormat="1" applyFont="1" applyFill="1"/>
    <xf numFmtId="185" fontId="3" fillId="2" borderId="0" xfId="0" applyNumberFormat="1" applyFont="1" applyFill="1"/>
    <xf numFmtId="4" fontId="1" fillId="5" borderId="1" xfId="0" applyNumberFormat="1" applyFont="1" applyFill="1" applyBorder="1" applyProtection="1">
      <protection hidden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top" wrapText="1"/>
    </xf>
    <xf numFmtId="0" fontId="3" fillId="9" borderId="0" xfId="0" applyFont="1" applyFill="1"/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3" fillId="0" borderId="2" xfId="0" applyFont="1" applyFill="1" applyBorder="1" applyAlignment="1" applyProtection="1">
      <alignment horizontal="center"/>
      <protection locked="0"/>
    </xf>
    <xf numFmtId="0" fontId="15" fillId="9" borderId="1" xfId="0" applyFont="1" applyFill="1" applyBorder="1" applyAlignment="1">
      <alignment horizontal="left" vertical="center" wrapText="1"/>
    </xf>
    <xf numFmtId="180" fontId="7" fillId="0" borderId="1" xfId="0" applyNumberFormat="1" applyFont="1" applyFill="1" applyBorder="1" applyAlignment="1">
      <alignment vertical="center" shrinkToFit="1"/>
    </xf>
    <xf numFmtId="179" fontId="22" fillId="5" borderId="1" xfId="0" applyNumberFormat="1" applyFont="1" applyFill="1" applyBorder="1" applyAlignment="1">
      <alignment horizontal="right" vertical="center" shrinkToFit="1"/>
    </xf>
    <xf numFmtId="179" fontId="22" fillId="0" borderId="1" xfId="0" applyNumberFormat="1" applyFont="1" applyBorder="1" applyAlignment="1">
      <alignment horizontal="right" vertical="center" shrinkToFit="1"/>
    </xf>
    <xf numFmtId="179" fontId="7" fillId="0" borderId="1" xfId="0" applyNumberFormat="1" applyFont="1" applyFill="1" applyBorder="1" applyAlignment="1">
      <alignment vertical="center" shrinkToFit="1"/>
    </xf>
    <xf numFmtId="0" fontId="23" fillId="0" borderId="0" xfId="0" applyFont="1"/>
    <xf numFmtId="0" fontId="24" fillId="0" borderId="16" xfId="0" applyFont="1" applyBorder="1" applyAlignment="1">
      <alignment horizontal="center" vertical="center" wrapText="1"/>
    </xf>
    <xf numFmtId="183" fontId="23" fillId="0" borderId="0" xfId="0" applyNumberFormat="1" applyFont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4" fillId="3" borderId="1" xfId="0" applyNumberFormat="1" applyFont="1" applyFill="1" applyBorder="1" applyAlignment="1" applyProtection="1">
      <alignment horizontal="center" vertical="center" wrapText="1"/>
      <protection locked="0"/>
    </xf>
    <xf numFmtId="183" fontId="24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3" fillId="6" borderId="0" xfId="0" applyFont="1" applyFill="1" applyBorder="1" applyAlignment="1">
      <alignment horizontal="left"/>
    </xf>
    <xf numFmtId="0" fontId="23" fillId="0" borderId="1" xfId="0" applyFont="1" applyBorder="1"/>
    <xf numFmtId="0" fontId="23" fillId="0" borderId="1" xfId="0" applyFont="1" applyBorder="1" applyAlignment="1">
      <alignment horizontal="right"/>
    </xf>
    <xf numFmtId="0" fontId="23" fillId="0" borderId="5" xfId="0" applyFont="1" applyBorder="1" applyAlignment="1">
      <alignment horizontal="right"/>
    </xf>
    <xf numFmtId="0" fontId="25" fillId="0" borderId="1" xfId="0" applyFont="1" applyBorder="1" applyAlignment="1">
      <alignment horizontal="right"/>
    </xf>
    <xf numFmtId="0" fontId="23" fillId="8" borderId="1" xfId="0" applyFont="1" applyFill="1" applyBorder="1" applyAlignment="1">
      <alignment horizontal="center"/>
    </xf>
    <xf numFmtId="0" fontId="23" fillId="8" borderId="1" xfId="0" applyFont="1" applyFill="1" applyBorder="1"/>
    <xf numFmtId="10" fontId="23" fillId="8" borderId="1" xfId="1" applyNumberFormat="1" applyFont="1" applyFill="1" applyBorder="1" applyAlignment="1">
      <alignment horizontal="right"/>
    </xf>
    <xf numFmtId="10" fontId="23" fillId="0" borderId="1" xfId="1" applyNumberFormat="1" applyFont="1" applyBorder="1" applyAlignment="1">
      <alignment horizontal="right"/>
    </xf>
    <xf numFmtId="0" fontId="26" fillId="8" borderId="1" xfId="0" applyFont="1" applyFill="1" applyBorder="1"/>
    <xf numFmtId="10" fontId="23" fillId="0" borderId="5" xfId="1" applyNumberFormat="1" applyFont="1" applyBorder="1" applyAlignment="1">
      <alignment horizontal="right"/>
    </xf>
    <xf numFmtId="0" fontId="26" fillId="0" borderId="1" xfId="0" applyFont="1" applyBorder="1"/>
    <xf numFmtId="177" fontId="23" fillId="8" borderId="1" xfId="1" applyNumberFormat="1" applyFont="1" applyFill="1" applyBorder="1" applyAlignment="1">
      <alignment horizontal="right"/>
    </xf>
    <xf numFmtId="178" fontId="23" fillId="0" borderId="1" xfId="0" applyNumberFormat="1" applyFont="1" applyBorder="1" applyAlignment="1">
      <alignment horizontal="right"/>
    </xf>
    <xf numFmtId="178" fontId="23" fillId="8" borderId="1" xfId="0" applyNumberFormat="1" applyFont="1" applyFill="1" applyBorder="1" applyAlignment="1">
      <alignment horizontal="right"/>
    </xf>
    <xf numFmtId="0" fontId="23" fillId="8" borderId="1" xfId="0" applyFont="1" applyFill="1" applyBorder="1" applyAlignment="1">
      <alignment horizontal="left" vertical="center"/>
    </xf>
    <xf numFmtId="184" fontId="23" fillId="8" borderId="1" xfId="1" applyNumberFormat="1" applyFont="1" applyFill="1" applyBorder="1" applyAlignment="1">
      <alignment horizontal="right"/>
    </xf>
    <xf numFmtId="0" fontId="23" fillId="6" borderId="0" xfId="0" applyFont="1" applyFill="1" applyBorder="1" applyAlignment="1">
      <alignment horizontal="left" vertical="center" wrapText="1"/>
    </xf>
    <xf numFmtId="184" fontId="23" fillId="0" borderId="1" xfId="1" applyNumberFormat="1" applyFont="1" applyBorder="1" applyAlignment="1">
      <alignment horizontal="right"/>
    </xf>
    <xf numFmtId="178" fontId="23" fillId="0" borderId="5" xfId="0" applyNumberFormat="1" applyFont="1" applyBorder="1" applyAlignment="1">
      <alignment horizontal="right"/>
    </xf>
    <xf numFmtId="0" fontId="24" fillId="8" borderId="1" xfId="0" applyFont="1" applyFill="1" applyBorder="1"/>
    <xf numFmtId="0" fontId="24" fillId="0" borderId="0" xfId="0" applyFont="1"/>
    <xf numFmtId="184" fontId="23" fillId="0" borderId="5" xfId="1" applyNumberFormat="1" applyFont="1" applyBorder="1" applyAlignment="1">
      <alignment horizontal="right"/>
    </xf>
    <xf numFmtId="178" fontId="23" fillId="6" borderId="0" xfId="0" applyNumberFormat="1" applyFont="1" applyFill="1" applyBorder="1" applyAlignment="1">
      <alignment horizontal="left"/>
    </xf>
    <xf numFmtId="178" fontId="23" fillId="6" borderId="0" xfId="0" applyNumberFormat="1" applyFont="1" applyFill="1" applyBorder="1" applyAlignment="1">
      <alignment horizontal="left" wrapText="1"/>
    </xf>
    <xf numFmtId="0" fontId="24" fillId="0" borderId="1" xfId="0" applyFont="1" applyBorder="1"/>
    <xf numFmtId="0" fontId="23" fillId="0" borderId="0" xfId="0" applyFont="1" applyAlignment="1">
      <alignment horizontal="right"/>
    </xf>
    <xf numFmtId="176" fontId="23" fillId="0" borderId="1" xfId="0" applyNumberFormat="1" applyFont="1" applyFill="1" applyBorder="1" applyAlignment="1" applyProtection="1">
      <alignment horizontal="right"/>
      <protection locked="0"/>
    </xf>
    <xf numFmtId="0" fontId="23" fillId="0" borderId="0" xfId="0" applyFont="1" applyAlignment="1">
      <alignment horizontal="center"/>
    </xf>
    <xf numFmtId="10" fontId="23" fillId="0" borderId="0" xfId="1" applyNumberFormat="1" applyFont="1"/>
    <xf numFmtId="10" fontId="23" fillId="0" borderId="0" xfId="0" applyNumberFormat="1" applyFont="1"/>
    <xf numFmtId="10" fontId="23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23" fillId="0" borderId="22" xfId="0" applyFont="1" applyBorder="1" applyAlignment="1">
      <alignment horizontal="center"/>
    </xf>
    <xf numFmtId="183" fontId="24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2" xfId="0" applyFont="1" applyBorder="1"/>
    <xf numFmtId="0" fontId="23" fillId="0" borderId="23" xfId="0" applyFont="1" applyBorder="1"/>
    <xf numFmtId="0" fontId="24" fillId="0" borderId="22" xfId="0" applyFont="1" applyBorder="1"/>
    <xf numFmtId="185" fontId="23" fillId="0" borderId="1" xfId="2" applyNumberFormat="1" applyFont="1" applyBorder="1"/>
    <xf numFmtId="185" fontId="23" fillId="0" borderId="23" xfId="2" applyNumberFormat="1" applyFont="1" applyBorder="1"/>
    <xf numFmtId="0" fontId="24" fillId="0" borderId="22" xfId="0" applyFont="1" applyFill="1" applyBorder="1" applyAlignment="1" applyProtection="1">
      <protection locked="0"/>
    </xf>
    <xf numFmtId="185" fontId="23" fillId="0" borderId="1" xfId="0" applyNumberFormat="1" applyFont="1" applyBorder="1"/>
    <xf numFmtId="185" fontId="23" fillId="0" borderId="23" xfId="0" applyNumberFormat="1" applyFont="1" applyBorder="1"/>
    <xf numFmtId="0" fontId="24" fillId="0" borderId="24" xfId="0" applyFont="1" applyBorder="1"/>
    <xf numFmtId="185" fontId="23" fillId="0" borderId="25" xfId="0" applyNumberFormat="1" applyFont="1" applyBorder="1"/>
    <xf numFmtId="185" fontId="23" fillId="0" borderId="26" xfId="0" applyNumberFormat="1" applyFont="1" applyBorder="1"/>
    <xf numFmtId="0" fontId="15" fillId="9" borderId="8" xfId="0" applyFont="1" applyFill="1" applyBorder="1" applyAlignment="1">
      <alignment horizontal="center" vertical="center"/>
    </xf>
    <xf numFmtId="0" fontId="15" fillId="9" borderId="17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left" vertical="center" wrapText="1"/>
    </xf>
    <xf numFmtId="0" fontId="15" fillId="9" borderId="17" xfId="0" applyFont="1" applyFill="1" applyBorder="1" applyAlignment="1">
      <alignment horizontal="left" vertical="center" wrapText="1"/>
    </xf>
    <xf numFmtId="0" fontId="15" fillId="9" borderId="4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15" fillId="9" borderId="10" xfId="0" applyFont="1" applyFill="1" applyBorder="1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15" fillId="9" borderId="12" xfId="0" applyFont="1" applyFill="1" applyBorder="1" applyAlignment="1">
      <alignment horizontal="center" vertical="center"/>
    </xf>
    <xf numFmtId="0" fontId="15" fillId="9" borderId="13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16" xfId="0" applyFont="1" applyBorder="1" applyAlignment="1">
      <alignment horizontal="left"/>
    </xf>
    <xf numFmtId="0" fontId="24" fillId="0" borderId="16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21" fillId="0" borderId="8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tabSelected="1" zoomScaleNormal="100" workbookViewId="0">
      <selection sqref="A1:G1"/>
    </sheetView>
  </sheetViews>
  <sheetFormatPr defaultRowHeight="12" x14ac:dyDescent="0.15"/>
  <cols>
    <col min="1" max="1" width="4.5" style="44" customWidth="1"/>
    <col min="2" max="2" width="18.125" style="44" customWidth="1"/>
    <col min="3" max="3" width="5.25" style="44" customWidth="1"/>
    <col min="4" max="4" width="54.125" style="44" customWidth="1"/>
    <col min="5" max="5" width="6.625" style="44" customWidth="1"/>
    <col min="6" max="6" width="7.125" style="44" customWidth="1"/>
    <col min="7" max="7" width="8" style="44" customWidth="1"/>
    <col min="8" max="16384" width="9" style="44"/>
  </cols>
  <sheetData>
    <row r="1" spans="1:7" ht="24" customHeight="1" x14ac:dyDescent="0.25">
      <c r="A1" s="281" t="s">
        <v>552</v>
      </c>
      <c r="B1" s="281"/>
      <c r="C1" s="281"/>
      <c r="D1" s="281"/>
      <c r="E1" s="281"/>
      <c r="F1" s="281"/>
      <c r="G1" s="281"/>
    </row>
    <row r="2" spans="1:7" ht="14.25" x14ac:dyDescent="0.15">
      <c r="A2" s="282" t="s">
        <v>333</v>
      </c>
      <c r="B2" s="282"/>
      <c r="C2" s="282"/>
      <c r="D2" s="282"/>
      <c r="E2" s="282"/>
      <c r="F2" s="282"/>
      <c r="G2" s="282"/>
    </row>
    <row r="3" spans="1:7" x14ac:dyDescent="0.15">
      <c r="A3" s="137" t="s">
        <v>49</v>
      </c>
      <c r="B3" s="138" t="s">
        <v>334</v>
      </c>
      <c r="C3" s="138" t="s">
        <v>335</v>
      </c>
      <c r="D3" s="138" t="s">
        <v>336</v>
      </c>
      <c r="E3" s="138" t="s">
        <v>337</v>
      </c>
      <c r="F3" s="138" t="s">
        <v>338</v>
      </c>
      <c r="G3" s="138" t="s">
        <v>339</v>
      </c>
    </row>
    <row r="4" spans="1:7" ht="14.25" x14ac:dyDescent="0.15">
      <c r="A4" s="157" t="s">
        <v>533</v>
      </c>
      <c r="B4" s="158" t="s">
        <v>534</v>
      </c>
      <c r="C4" s="159">
        <v>80</v>
      </c>
      <c r="D4" s="141"/>
      <c r="E4" s="141"/>
      <c r="F4" s="142"/>
      <c r="G4" s="143"/>
    </row>
    <row r="5" spans="1:7" x14ac:dyDescent="0.15">
      <c r="A5" s="139" t="s">
        <v>340</v>
      </c>
      <c r="B5" s="144" t="s">
        <v>341</v>
      </c>
      <c r="C5" s="145">
        <v>3</v>
      </c>
      <c r="D5" s="141"/>
      <c r="E5" s="141"/>
      <c r="F5" s="142"/>
      <c r="G5" s="143"/>
    </row>
    <row r="6" spans="1:7" x14ac:dyDescent="0.15">
      <c r="A6" s="253">
        <v>1</v>
      </c>
      <c r="B6" s="272" t="s">
        <v>342</v>
      </c>
      <c r="C6" s="259">
        <v>1</v>
      </c>
      <c r="D6" s="141" t="s">
        <v>343</v>
      </c>
      <c r="E6" s="141"/>
      <c r="F6" s="262"/>
      <c r="G6" s="143"/>
    </row>
    <row r="7" spans="1:7" x14ac:dyDescent="0.15">
      <c r="A7" s="254"/>
      <c r="B7" s="273"/>
      <c r="C7" s="260"/>
      <c r="D7" s="141" t="s">
        <v>344</v>
      </c>
      <c r="E7" s="141"/>
      <c r="F7" s="263"/>
      <c r="G7" s="143"/>
    </row>
    <row r="8" spans="1:7" x14ac:dyDescent="0.15">
      <c r="A8" s="255"/>
      <c r="B8" s="274"/>
      <c r="C8" s="261"/>
      <c r="D8" s="141" t="s">
        <v>345</v>
      </c>
      <c r="E8" s="141"/>
      <c r="F8" s="264"/>
      <c r="G8" s="143"/>
    </row>
    <row r="9" spans="1:7" ht="22.5" x14ac:dyDescent="0.15">
      <c r="A9" s="253">
        <v>2</v>
      </c>
      <c r="B9" s="272" t="s">
        <v>346</v>
      </c>
      <c r="C9" s="259">
        <v>1</v>
      </c>
      <c r="D9" s="141" t="s">
        <v>347</v>
      </c>
      <c r="E9" s="141"/>
      <c r="F9" s="262"/>
      <c r="G9" s="143"/>
    </row>
    <row r="10" spans="1:7" x14ac:dyDescent="0.15">
      <c r="A10" s="254"/>
      <c r="B10" s="273"/>
      <c r="C10" s="260"/>
      <c r="D10" s="141" t="s">
        <v>348</v>
      </c>
      <c r="E10" s="141"/>
      <c r="F10" s="263"/>
      <c r="G10" s="143"/>
    </row>
    <row r="11" spans="1:7" x14ac:dyDescent="0.15">
      <c r="A11" s="255"/>
      <c r="B11" s="274"/>
      <c r="C11" s="261"/>
      <c r="D11" s="141" t="s">
        <v>349</v>
      </c>
      <c r="E11" s="141"/>
      <c r="F11" s="264"/>
      <c r="G11" s="143"/>
    </row>
    <row r="12" spans="1:7" ht="22.5" x14ac:dyDescent="0.15">
      <c r="A12" s="253">
        <v>3</v>
      </c>
      <c r="B12" s="272" t="s">
        <v>350</v>
      </c>
      <c r="C12" s="259">
        <v>1</v>
      </c>
      <c r="D12" s="141" t="s">
        <v>351</v>
      </c>
      <c r="E12" s="141"/>
      <c r="F12" s="262"/>
      <c r="G12" s="143"/>
    </row>
    <row r="13" spans="1:7" x14ac:dyDescent="0.15">
      <c r="A13" s="255"/>
      <c r="B13" s="274"/>
      <c r="C13" s="261"/>
      <c r="D13" s="141" t="s">
        <v>352</v>
      </c>
      <c r="E13" s="141"/>
      <c r="F13" s="264"/>
      <c r="G13" s="143"/>
    </row>
    <row r="14" spans="1:7" x14ac:dyDescent="0.15">
      <c r="A14" s="139" t="s">
        <v>353</v>
      </c>
      <c r="B14" s="144" t="s">
        <v>354</v>
      </c>
      <c r="C14" s="145">
        <v>10</v>
      </c>
      <c r="D14" s="141"/>
      <c r="E14" s="141"/>
      <c r="F14" s="142"/>
      <c r="G14" s="143"/>
    </row>
    <row r="15" spans="1:7" ht="24" customHeight="1" x14ac:dyDescent="0.15">
      <c r="A15" s="253">
        <v>1</v>
      </c>
      <c r="B15" s="256" t="s">
        <v>355</v>
      </c>
      <c r="C15" s="259">
        <v>1</v>
      </c>
      <c r="D15" s="141" t="s">
        <v>356</v>
      </c>
      <c r="E15" s="141"/>
      <c r="F15" s="262"/>
      <c r="G15" s="143"/>
    </row>
    <row r="16" spans="1:7" x14ac:dyDescent="0.15">
      <c r="A16" s="254"/>
      <c r="B16" s="257"/>
      <c r="C16" s="260"/>
      <c r="D16" s="141" t="s">
        <v>357</v>
      </c>
      <c r="E16" s="141"/>
      <c r="F16" s="263"/>
      <c r="G16" s="143"/>
    </row>
    <row r="17" spans="1:7" x14ac:dyDescent="0.15">
      <c r="A17" s="255"/>
      <c r="B17" s="258"/>
      <c r="C17" s="261"/>
      <c r="D17" s="141" t="s">
        <v>345</v>
      </c>
      <c r="E17" s="141"/>
      <c r="F17" s="264"/>
      <c r="G17" s="143"/>
    </row>
    <row r="18" spans="1:7" ht="24" customHeight="1" x14ac:dyDescent="0.15">
      <c r="A18" s="253">
        <v>2</v>
      </c>
      <c r="B18" s="256" t="s">
        <v>358</v>
      </c>
      <c r="C18" s="259">
        <v>2</v>
      </c>
      <c r="D18" s="141" t="s">
        <v>359</v>
      </c>
      <c r="E18" s="141"/>
      <c r="F18" s="275"/>
      <c r="G18" s="143"/>
    </row>
    <row r="19" spans="1:7" x14ac:dyDescent="0.15">
      <c r="A19" s="254"/>
      <c r="B19" s="257"/>
      <c r="C19" s="260"/>
      <c r="D19" s="146" t="s">
        <v>360</v>
      </c>
      <c r="E19" s="141"/>
      <c r="F19" s="276"/>
      <c r="G19" s="143"/>
    </row>
    <row r="20" spans="1:7" x14ac:dyDescent="0.15">
      <c r="A20" s="254"/>
      <c r="B20" s="257"/>
      <c r="C20" s="260"/>
      <c r="D20" s="141" t="s">
        <v>361</v>
      </c>
      <c r="E20" s="141"/>
      <c r="F20" s="276"/>
      <c r="G20" s="143"/>
    </row>
    <row r="21" spans="1:7" x14ac:dyDescent="0.15">
      <c r="A21" s="255"/>
      <c r="B21" s="258"/>
      <c r="C21" s="261"/>
      <c r="D21" s="141" t="s">
        <v>362</v>
      </c>
      <c r="E21" s="141"/>
      <c r="F21" s="277"/>
      <c r="G21" s="143"/>
    </row>
    <row r="22" spans="1:7" x14ac:dyDescent="0.15">
      <c r="A22" s="253" t="s">
        <v>363</v>
      </c>
      <c r="B22" s="272" t="s">
        <v>364</v>
      </c>
      <c r="C22" s="259">
        <v>2.5</v>
      </c>
      <c r="D22" s="141" t="s">
        <v>365</v>
      </c>
      <c r="E22" s="141"/>
      <c r="F22" s="262"/>
      <c r="G22" s="143"/>
    </row>
    <row r="23" spans="1:7" x14ac:dyDescent="0.15">
      <c r="A23" s="254"/>
      <c r="B23" s="273"/>
      <c r="C23" s="260"/>
      <c r="D23" s="141" t="s">
        <v>366</v>
      </c>
      <c r="E23" s="141"/>
      <c r="F23" s="263"/>
      <c r="G23" s="143"/>
    </row>
    <row r="24" spans="1:7" x14ac:dyDescent="0.15">
      <c r="A24" s="254"/>
      <c r="B24" s="273"/>
      <c r="C24" s="260"/>
      <c r="D24" s="141" t="s">
        <v>367</v>
      </c>
      <c r="E24" s="141"/>
      <c r="F24" s="263"/>
      <c r="G24" s="143"/>
    </row>
    <row r="25" spans="1:7" x14ac:dyDescent="0.15">
      <c r="A25" s="254"/>
      <c r="B25" s="273"/>
      <c r="C25" s="260"/>
      <c r="D25" s="141" t="s">
        <v>368</v>
      </c>
      <c r="E25" s="141"/>
      <c r="F25" s="263"/>
      <c r="G25" s="143"/>
    </row>
    <row r="26" spans="1:7" x14ac:dyDescent="0.15">
      <c r="A26" s="255"/>
      <c r="B26" s="274"/>
      <c r="C26" s="261"/>
      <c r="D26" s="141" t="s">
        <v>369</v>
      </c>
      <c r="E26" s="141"/>
      <c r="F26" s="264"/>
      <c r="G26" s="143"/>
    </row>
    <row r="27" spans="1:7" ht="22.5" x14ac:dyDescent="0.15">
      <c r="A27" s="253" t="s">
        <v>370</v>
      </c>
      <c r="B27" s="272" t="s">
        <v>371</v>
      </c>
      <c r="C27" s="259">
        <v>2.5</v>
      </c>
      <c r="D27" s="141" t="s">
        <v>372</v>
      </c>
      <c r="E27" s="146"/>
      <c r="F27" s="275"/>
      <c r="G27" s="147"/>
    </row>
    <row r="28" spans="1:7" x14ac:dyDescent="0.15">
      <c r="A28" s="254"/>
      <c r="B28" s="273"/>
      <c r="C28" s="260"/>
      <c r="D28" s="141" t="s">
        <v>373</v>
      </c>
      <c r="E28" s="146"/>
      <c r="F28" s="276"/>
      <c r="G28" s="147"/>
    </row>
    <row r="29" spans="1:7" x14ac:dyDescent="0.15">
      <c r="A29" s="254"/>
      <c r="B29" s="273"/>
      <c r="C29" s="260"/>
      <c r="D29" s="141" t="s">
        <v>374</v>
      </c>
      <c r="E29" s="146"/>
      <c r="F29" s="276"/>
      <c r="G29" s="147"/>
    </row>
    <row r="30" spans="1:7" x14ac:dyDescent="0.15">
      <c r="A30" s="254"/>
      <c r="B30" s="273"/>
      <c r="C30" s="260"/>
      <c r="D30" s="141" t="s">
        <v>375</v>
      </c>
      <c r="E30" s="146"/>
      <c r="F30" s="276"/>
      <c r="G30" s="147"/>
    </row>
    <row r="31" spans="1:7" x14ac:dyDescent="0.15">
      <c r="A31" s="255"/>
      <c r="B31" s="274"/>
      <c r="C31" s="261"/>
      <c r="D31" s="141" t="s">
        <v>376</v>
      </c>
      <c r="E31" s="146"/>
      <c r="F31" s="277"/>
      <c r="G31" s="147"/>
    </row>
    <row r="32" spans="1:7" x14ac:dyDescent="0.15">
      <c r="A32" s="253" t="s">
        <v>377</v>
      </c>
      <c r="B32" s="272" t="s">
        <v>378</v>
      </c>
      <c r="C32" s="259">
        <v>2</v>
      </c>
      <c r="D32" s="141" t="s">
        <v>379</v>
      </c>
      <c r="E32" s="141"/>
      <c r="F32" s="262"/>
      <c r="G32" s="143"/>
    </row>
    <row r="33" spans="1:7" x14ac:dyDescent="0.15">
      <c r="A33" s="254"/>
      <c r="B33" s="273"/>
      <c r="C33" s="260"/>
      <c r="D33" s="146" t="s">
        <v>380</v>
      </c>
      <c r="E33" s="141"/>
      <c r="F33" s="263"/>
      <c r="G33" s="143"/>
    </row>
    <row r="34" spans="1:7" x14ac:dyDescent="0.15">
      <c r="A34" s="254"/>
      <c r="B34" s="273"/>
      <c r="C34" s="260"/>
      <c r="D34" s="141" t="s">
        <v>381</v>
      </c>
      <c r="E34" s="141"/>
      <c r="F34" s="263"/>
      <c r="G34" s="143"/>
    </row>
    <row r="35" spans="1:7" x14ac:dyDescent="0.15">
      <c r="A35" s="255"/>
      <c r="B35" s="274"/>
      <c r="C35" s="261"/>
      <c r="D35" s="141" t="s">
        <v>382</v>
      </c>
      <c r="E35" s="141"/>
      <c r="F35" s="264"/>
      <c r="G35" s="143"/>
    </row>
    <row r="36" spans="1:7" x14ac:dyDescent="0.15">
      <c r="A36" s="139" t="s">
        <v>383</v>
      </c>
      <c r="B36" s="144" t="s">
        <v>384</v>
      </c>
      <c r="C36" s="145">
        <v>23</v>
      </c>
      <c r="D36" s="141"/>
      <c r="E36" s="141"/>
      <c r="F36" s="142"/>
      <c r="G36" s="143"/>
    </row>
    <row r="37" spans="1:7" ht="22.5" customHeight="1" x14ac:dyDescent="0.15">
      <c r="A37" s="253" t="s">
        <v>385</v>
      </c>
      <c r="B37" s="272" t="s">
        <v>386</v>
      </c>
      <c r="C37" s="278">
        <v>3</v>
      </c>
      <c r="D37" s="141" t="s">
        <v>387</v>
      </c>
      <c r="E37" s="141"/>
      <c r="F37" s="262"/>
      <c r="G37" s="143"/>
    </row>
    <row r="38" spans="1:7" x14ac:dyDescent="0.15">
      <c r="A38" s="254"/>
      <c r="B38" s="273"/>
      <c r="C38" s="279"/>
      <c r="D38" s="141" t="s">
        <v>388</v>
      </c>
      <c r="E38" s="141"/>
      <c r="F38" s="263"/>
      <c r="G38" s="143"/>
    </row>
    <row r="39" spans="1:7" x14ac:dyDescent="0.15">
      <c r="A39" s="254"/>
      <c r="B39" s="273"/>
      <c r="C39" s="279"/>
      <c r="D39" s="141" t="s">
        <v>389</v>
      </c>
      <c r="E39" s="141"/>
      <c r="F39" s="263"/>
      <c r="G39" s="143"/>
    </row>
    <row r="40" spans="1:7" x14ac:dyDescent="0.15">
      <c r="A40" s="254"/>
      <c r="B40" s="273"/>
      <c r="C40" s="279"/>
      <c r="D40" s="141" t="s">
        <v>390</v>
      </c>
      <c r="E40" s="141"/>
      <c r="F40" s="263"/>
      <c r="G40" s="143"/>
    </row>
    <row r="41" spans="1:7" x14ac:dyDescent="0.15">
      <c r="A41" s="254"/>
      <c r="B41" s="273"/>
      <c r="C41" s="279"/>
      <c r="D41" s="141" t="s">
        <v>391</v>
      </c>
      <c r="E41" s="141"/>
      <c r="F41" s="263"/>
      <c r="G41" s="143"/>
    </row>
    <row r="42" spans="1:7" x14ac:dyDescent="0.15">
      <c r="A42" s="255"/>
      <c r="B42" s="274"/>
      <c r="C42" s="280"/>
      <c r="D42" s="141" t="s">
        <v>392</v>
      </c>
      <c r="E42" s="141"/>
      <c r="F42" s="264"/>
      <c r="G42" s="143"/>
    </row>
    <row r="43" spans="1:7" x14ac:dyDescent="0.15">
      <c r="A43" s="253" t="s">
        <v>393</v>
      </c>
      <c r="B43" s="272" t="s">
        <v>394</v>
      </c>
      <c r="C43" s="278">
        <v>4</v>
      </c>
      <c r="D43" s="141" t="s">
        <v>395</v>
      </c>
      <c r="E43" s="141"/>
      <c r="F43" s="262"/>
      <c r="G43" s="143"/>
    </row>
    <row r="44" spans="1:7" x14ac:dyDescent="0.15">
      <c r="A44" s="254"/>
      <c r="B44" s="273"/>
      <c r="C44" s="279"/>
      <c r="D44" s="146" t="s">
        <v>396</v>
      </c>
      <c r="E44" s="141"/>
      <c r="F44" s="263"/>
      <c r="G44" s="143"/>
    </row>
    <row r="45" spans="1:7" x14ac:dyDescent="0.15">
      <c r="A45" s="254"/>
      <c r="B45" s="273"/>
      <c r="C45" s="279"/>
      <c r="D45" s="146" t="s">
        <v>397</v>
      </c>
      <c r="E45" s="141"/>
      <c r="F45" s="263"/>
      <c r="G45" s="143"/>
    </row>
    <row r="46" spans="1:7" x14ac:dyDescent="0.15">
      <c r="A46" s="254"/>
      <c r="B46" s="273"/>
      <c r="C46" s="279"/>
      <c r="D46" s="146" t="s">
        <v>398</v>
      </c>
      <c r="E46" s="141"/>
      <c r="F46" s="263"/>
      <c r="G46" s="143"/>
    </row>
    <row r="47" spans="1:7" x14ac:dyDescent="0.15">
      <c r="A47" s="254"/>
      <c r="B47" s="273"/>
      <c r="C47" s="279"/>
      <c r="D47" s="141" t="s">
        <v>399</v>
      </c>
      <c r="E47" s="141"/>
      <c r="F47" s="263"/>
      <c r="G47" s="143"/>
    </row>
    <row r="48" spans="1:7" x14ac:dyDescent="0.15">
      <c r="A48" s="254"/>
      <c r="B48" s="273"/>
      <c r="C48" s="279"/>
      <c r="D48" s="141" t="s">
        <v>400</v>
      </c>
      <c r="E48" s="141"/>
      <c r="F48" s="263"/>
      <c r="G48" s="143"/>
    </row>
    <row r="49" spans="1:7" x14ac:dyDescent="0.15">
      <c r="A49" s="254"/>
      <c r="B49" s="273"/>
      <c r="C49" s="279"/>
      <c r="D49" s="141" t="s">
        <v>401</v>
      </c>
      <c r="E49" s="141"/>
      <c r="F49" s="263"/>
      <c r="G49" s="143"/>
    </row>
    <row r="50" spans="1:7" x14ac:dyDescent="0.15">
      <c r="A50" s="255"/>
      <c r="B50" s="274"/>
      <c r="C50" s="280"/>
      <c r="D50" s="141" t="s">
        <v>402</v>
      </c>
      <c r="E50" s="141"/>
      <c r="F50" s="264"/>
      <c r="G50" s="143"/>
    </row>
    <row r="51" spans="1:7" ht="22.5" customHeight="1" x14ac:dyDescent="0.15">
      <c r="A51" s="253" t="s">
        <v>363</v>
      </c>
      <c r="B51" s="272" t="s">
        <v>403</v>
      </c>
      <c r="C51" s="278">
        <v>3</v>
      </c>
      <c r="D51" s="141" t="s">
        <v>404</v>
      </c>
      <c r="E51" s="141"/>
      <c r="F51" s="275"/>
      <c r="G51" s="148"/>
    </row>
    <row r="52" spans="1:7" x14ac:dyDescent="0.15">
      <c r="A52" s="254"/>
      <c r="B52" s="273"/>
      <c r="C52" s="279"/>
      <c r="D52" s="141" t="s">
        <v>405</v>
      </c>
      <c r="E52" s="141"/>
      <c r="F52" s="276"/>
      <c r="G52" s="148"/>
    </row>
    <row r="53" spans="1:7" x14ac:dyDescent="0.15">
      <c r="A53" s="254"/>
      <c r="B53" s="273"/>
      <c r="C53" s="279"/>
      <c r="D53" s="141" t="s">
        <v>406</v>
      </c>
      <c r="E53" s="141"/>
      <c r="F53" s="276"/>
      <c r="G53" s="148"/>
    </row>
    <row r="54" spans="1:7" ht="22.5" x14ac:dyDescent="0.15">
      <c r="A54" s="254"/>
      <c r="B54" s="273"/>
      <c r="C54" s="279"/>
      <c r="D54" s="141" t="s">
        <v>407</v>
      </c>
      <c r="E54" s="141"/>
      <c r="F54" s="276"/>
      <c r="G54" s="143"/>
    </row>
    <row r="55" spans="1:7" x14ac:dyDescent="0.15">
      <c r="A55" s="254"/>
      <c r="B55" s="273"/>
      <c r="C55" s="279"/>
      <c r="D55" s="141" t="s">
        <v>408</v>
      </c>
      <c r="E55" s="141"/>
      <c r="F55" s="276"/>
      <c r="G55" s="143"/>
    </row>
    <row r="56" spans="1:7" x14ac:dyDescent="0.15">
      <c r="A56" s="254"/>
      <c r="B56" s="273"/>
      <c r="C56" s="279"/>
      <c r="D56" s="141" t="s">
        <v>409</v>
      </c>
      <c r="E56" s="141"/>
      <c r="F56" s="276"/>
      <c r="G56" s="143"/>
    </row>
    <row r="57" spans="1:7" x14ac:dyDescent="0.15">
      <c r="A57" s="255"/>
      <c r="B57" s="274"/>
      <c r="C57" s="280"/>
      <c r="D57" s="141" t="s">
        <v>410</v>
      </c>
      <c r="E57" s="141"/>
      <c r="F57" s="277"/>
      <c r="G57" s="143"/>
    </row>
    <row r="58" spans="1:7" ht="22.5" x14ac:dyDescent="0.15">
      <c r="A58" s="253" t="s">
        <v>370</v>
      </c>
      <c r="B58" s="272" t="s">
        <v>411</v>
      </c>
      <c r="C58" s="259">
        <v>5</v>
      </c>
      <c r="D58" s="141" t="s">
        <v>412</v>
      </c>
      <c r="E58" s="141"/>
      <c r="F58" s="275"/>
      <c r="G58" s="143"/>
    </row>
    <row r="59" spans="1:7" x14ac:dyDescent="0.15">
      <c r="A59" s="254"/>
      <c r="B59" s="273"/>
      <c r="C59" s="260"/>
      <c r="D59" s="141" t="s">
        <v>526</v>
      </c>
      <c r="E59" s="141"/>
      <c r="F59" s="276"/>
      <c r="G59" s="143"/>
    </row>
    <row r="60" spans="1:7" x14ac:dyDescent="0.15">
      <c r="A60" s="254"/>
      <c r="B60" s="273"/>
      <c r="C60" s="260"/>
      <c r="D60" s="141" t="s">
        <v>413</v>
      </c>
      <c r="E60" s="141"/>
      <c r="F60" s="276"/>
      <c r="G60" s="143"/>
    </row>
    <row r="61" spans="1:7" x14ac:dyDescent="0.15">
      <c r="A61" s="254"/>
      <c r="B61" s="273"/>
      <c r="C61" s="260"/>
      <c r="D61" s="141" t="s">
        <v>414</v>
      </c>
      <c r="E61" s="141"/>
      <c r="F61" s="276"/>
      <c r="G61" s="143"/>
    </row>
    <row r="62" spans="1:7" x14ac:dyDescent="0.15">
      <c r="A62" s="255"/>
      <c r="B62" s="274"/>
      <c r="C62" s="261"/>
      <c r="D62" s="146" t="s">
        <v>415</v>
      </c>
      <c r="E62" s="141"/>
      <c r="F62" s="277"/>
      <c r="G62" s="143"/>
    </row>
    <row r="63" spans="1:7" ht="22.5" x14ac:dyDescent="0.15">
      <c r="A63" s="253" t="s">
        <v>377</v>
      </c>
      <c r="B63" s="272" t="s">
        <v>416</v>
      </c>
      <c r="C63" s="259">
        <v>4</v>
      </c>
      <c r="D63" s="141" t="s">
        <v>417</v>
      </c>
      <c r="E63" s="141"/>
      <c r="F63" s="262"/>
      <c r="G63" s="143"/>
    </row>
    <row r="64" spans="1:7" x14ac:dyDescent="0.15">
      <c r="A64" s="254"/>
      <c r="B64" s="273"/>
      <c r="C64" s="260"/>
      <c r="D64" s="141" t="s">
        <v>418</v>
      </c>
      <c r="E64" s="141"/>
      <c r="F64" s="263"/>
      <c r="G64" s="143"/>
    </row>
    <row r="65" spans="1:7" x14ac:dyDescent="0.15">
      <c r="A65" s="254"/>
      <c r="B65" s="273"/>
      <c r="C65" s="260"/>
      <c r="D65" s="141" t="s">
        <v>419</v>
      </c>
      <c r="E65" s="141"/>
      <c r="F65" s="263"/>
      <c r="G65" s="143"/>
    </row>
    <row r="66" spans="1:7" x14ac:dyDescent="0.15">
      <c r="A66" s="254"/>
      <c r="B66" s="273"/>
      <c r="C66" s="260"/>
      <c r="D66" s="141" t="s">
        <v>420</v>
      </c>
      <c r="E66" s="141"/>
      <c r="F66" s="263"/>
      <c r="G66" s="143"/>
    </row>
    <row r="67" spans="1:7" x14ac:dyDescent="0.15">
      <c r="A67" s="254"/>
      <c r="B67" s="273"/>
      <c r="C67" s="260"/>
      <c r="D67" s="141" t="s">
        <v>421</v>
      </c>
      <c r="E67" s="141"/>
      <c r="F67" s="263"/>
      <c r="G67" s="143"/>
    </row>
    <row r="68" spans="1:7" x14ac:dyDescent="0.15">
      <c r="A68" s="254"/>
      <c r="B68" s="273"/>
      <c r="C68" s="260"/>
      <c r="D68" s="141" t="s">
        <v>422</v>
      </c>
      <c r="E68" s="141"/>
      <c r="F68" s="263"/>
      <c r="G68" s="143"/>
    </row>
    <row r="69" spans="1:7" x14ac:dyDescent="0.15">
      <c r="A69" s="254"/>
      <c r="B69" s="273"/>
      <c r="C69" s="260"/>
      <c r="D69" s="141" t="s">
        <v>423</v>
      </c>
      <c r="E69" s="141"/>
      <c r="F69" s="263"/>
      <c r="G69" s="143"/>
    </row>
    <row r="70" spans="1:7" x14ac:dyDescent="0.15">
      <c r="A70" s="255"/>
      <c r="B70" s="274"/>
      <c r="C70" s="261"/>
      <c r="D70" s="141" t="s">
        <v>424</v>
      </c>
      <c r="E70" s="141"/>
      <c r="F70" s="264"/>
      <c r="G70" s="143"/>
    </row>
    <row r="71" spans="1:7" ht="22.5" x14ac:dyDescent="0.15">
      <c r="A71" s="253" t="s">
        <v>425</v>
      </c>
      <c r="B71" s="272" t="s">
        <v>426</v>
      </c>
      <c r="C71" s="259">
        <v>4</v>
      </c>
      <c r="D71" s="141" t="s">
        <v>427</v>
      </c>
      <c r="E71" s="141"/>
      <c r="F71" s="262"/>
      <c r="G71" s="143"/>
    </row>
    <row r="72" spans="1:7" x14ac:dyDescent="0.15">
      <c r="A72" s="254"/>
      <c r="B72" s="273"/>
      <c r="C72" s="260"/>
      <c r="D72" s="141" t="s">
        <v>428</v>
      </c>
      <c r="E72" s="141"/>
      <c r="F72" s="263"/>
      <c r="G72" s="143"/>
    </row>
    <row r="73" spans="1:7" x14ac:dyDescent="0.15">
      <c r="A73" s="254"/>
      <c r="B73" s="273"/>
      <c r="C73" s="260"/>
      <c r="D73" s="141" t="s">
        <v>429</v>
      </c>
      <c r="E73" s="141"/>
      <c r="F73" s="263"/>
      <c r="G73" s="143"/>
    </row>
    <row r="74" spans="1:7" x14ac:dyDescent="0.15">
      <c r="A74" s="254"/>
      <c r="B74" s="273"/>
      <c r="C74" s="260"/>
      <c r="D74" s="141" t="s">
        <v>430</v>
      </c>
      <c r="E74" s="141"/>
      <c r="F74" s="263"/>
      <c r="G74" s="143"/>
    </row>
    <row r="75" spans="1:7" x14ac:dyDescent="0.15">
      <c r="A75" s="254"/>
      <c r="B75" s="273"/>
      <c r="C75" s="260"/>
      <c r="D75" s="141" t="s">
        <v>431</v>
      </c>
      <c r="E75" s="141"/>
      <c r="F75" s="263"/>
      <c r="G75" s="143"/>
    </row>
    <row r="76" spans="1:7" x14ac:dyDescent="0.15">
      <c r="A76" s="254"/>
      <c r="B76" s="273"/>
      <c r="C76" s="260"/>
      <c r="D76" s="141" t="s">
        <v>432</v>
      </c>
      <c r="E76" s="141"/>
      <c r="F76" s="263"/>
      <c r="G76" s="143"/>
    </row>
    <row r="77" spans="1:7" x14ac:dyDescent="0.15">
      <c r="A77" s="254"/>
      <c r="B77" s="273"/>
      <c r="C77" s="260"/>
      <c r="D77" s="141" t="s">
        <v>433</v>
      </c>
      <c r="E77" s="141"/>
      <c r="F77" s="263"/>
      <c r="G77" s="143"/>
    </row>
    <row r="78" spans="1:7" x14ac:dyDescent="0.15">
      <c r="A78" s="255"/>
      <c r="B78" s="274"/>
      <c r="C78" s="261"/>
      <c r="D78" s="141" t="s">
        <v>434</v>
      </c>
      <c r="E78" s="141"/>
      <c r="F78" s="264"/>
      <c r="G78" s="143"/>
    </row>
    <row r="79" spans="1:7" x14ac:dyDescent="0.15">
      <c r="A79" s="139" t="s">
        <v>435</v>
      </c>
      <c r="B79" s="144" t="s">
        <v>436</v>
      </c>
      <c r="C79" s="145">
        <v>6</v>
      </c>
      <c r="D79" s="141"/>
      <c r="E79" s="141"/>
      <c r="F79" s="142"/>
      <c r="G79" s="143"/>
    </row>
    <row r="80" spans="1:7" ht="22.5" x14ac:dyDescent="0.15">
      <c r="A80" s="139" t="s">
        <v>385</v>
      </c>
      <c r="B80" s="140" t="s">
        <v>437</v>
      </c>
      <c r="C80" s="149">
        <v>1</v>
      </c>
      <c r="D80" s="141" t="s">
        <v>438</v>
      </c>
      <c r="E80" s="141"/>
      <c r="F80" s="142"/>
      <c r="G80" s="143"/>
    </row>
    <row r="81" spans="1:7" x14ac:dyDescent="0.15">
      <c r="A81" s="253" t="s">
        <v>393</v>
      </c>
      <c r="B81" s="272" t="s">
        <v>439</v>
      </c>
      <c r="C81" s="259">
        <v>2</v>
      </c>
      <c r="D81" s="141" t="s">
        <v>440</v>
      </c>
      <c r="E81" s="141"/>
      <c r="F81" s="262"/>
      <c r="G81" s="143"/>
    </row>
    <row r="82" spans="1:7" x14ac:dyDescent="0.15">
      <c r="A82" s="254"/>
      <c r="B82" s="273"/>
      <c r="C82" s="260"/>
      <c r="D82" s="141" t="s">
        <v>441</v>
      </c>
      <c r="E82" s="141"/>
      <c r="F82" s="263"/>
      <c r="G82" s="143"/>
    </row>
    <row r="83" spans="1:7" x14ac:dyDescent="0.15">
      <c r="A83" s="254"/>
      <c r="B83" s="273"/>
      <c r="C83" s="260"/>
      <c r="D83" s="141" t="s">
        <v>442</v>
      </c>
      <c r="E83" s="141"/>
      <c r="F83" s="263"/>
      <c r="G83" s="143"/>
    </row>
    <row r="84" spans="1:7" x14ac:dyDescent="0.15">
      <c r="A84" s="255"/>
      <c r="B84" s="274"/>
      <c r="C84" s="261"/>
      <c r="D84" s="146" t="s">
        <v>443</v>
      </c>
      <c r="E84" s="141"/>
      <c r="F84" s="264"/>
      <c r="G84" s="143"/>
    </row>
    <row r="85" spans="1:7" ht="22.5" x14ac:dyDescent="0.15">
      <c r="A85" s="253" t="s">
        <v>363</v>
      </c>
      <c r="B85" s="272" t="s">
        <v>444</v>
      </c>
      <c r="C85" s="259">
        <v>3</v>
      </c>
      <c r="D85" s="141" t="s">
        <v>445</v>
      </c>
      <c r="E85" s="141"/>
      <c r="F85" s="275"/>
      <c r="G85" s="143"/>
    </row>
    <row r="86" spans="1:7" x14ac:dyDescent="0.15">
      <c r="A86" s="254"/>
      <c r="B86" s="273"/>
      <c r="C86" s="260"/>
      <c r="D86" s="141" t="s">
        <v>446</v>
      </c>
      <c r="E86" s="141"/>
      <c r="F86" s="276"/>
      <c r="G86" s="143"/>
    </row>
    <row r="87" spans="1:7" x14ac:dyDescent="0.15">
      <c r="A87" s="254"/>
      <c r="B87" s="273"/>
      <c r="C87" s="260"/>
      <c r="D87" s="141" t="s">
        <v>447</v>
      </c>
      <c r="E87" s="141"/>
      <c r="F87" s="276"/>
      <c r="G87" s="143"/>
    </row>
    <row r="88" spans="1:7" x14ac:dyDescent="0.15">
      <c r="A88" s="254"/>
      <c r="B88" s="273"/>
      <c r="C88" s="260"/>
      <c r="D88" s="141" t="s">
        <v>448</v>
      </c>
      <c r="E88" s="141"/>
      <c r="F88" s="276"/>
      <c r="G88" s="143"/>
    </row>
    <row r="89" spans="1:7" x14ac:dyDescent="0.15">
      <c r="A89" s="254"/>
      <c r="B89" s="273"/>
      <c r="C89" s="260"/>
      <c r="D89" s="141" t="s">
        <v>449</v>
      </c>
      <c r="E89" s="141"/>
      <c r="F89" s="276"/>
      <c r="G89" s="143"/>
    </row>
    <row r="90" spans="1:7" x14ac:dyDescent="0.15">
      <c r="A90" s="255"/>
      <c r="B90" s="274"/>
      <c r="C90" s="261"/>
      <c r="D90" s="141" t="s">
        <v>450</v>
      </c>
      <c r="E90" s="141"/>
      <c r="F90" s="277"/>
      <c r="G90" s="143"/>
    </row>
    <row r="91" spans="1:7" x14ac:dyDescent="0.15">
      <c r="A91" s="139" t="s">
        <v>451</v>
      </c>
      <c r="B91" s="144" t="s">
        <v>452</v>
      </c>
      <c r="C91" s="145">
        <v>38</v>
      </c>
      <c r="D91" s="141"/>
      <c r="E91" s="141"/>
      <c r="F91" s="142"/>
      <c r="G91" s="143"/>
    </row>
    <row r="92" spans="1:7" x14ac:dyDescent="0.15">
      <c r="A92" s="139">
        <v>1</v>
      </c>
      <c r="B92" s="140" t="s">
        <v>453</v>
      </c>
      <c r="C92" s="150">
        <v>8</v>
      </c>
      <c r="D92" s="141"/>
      <c r="E92" s="141"/>
      <c r="F92" s="142"/>
      <c r="G92" s="143"/>
    </row>
    <row r="93" spans="1:7" ht="33.75" x14ac:dyDescent="0.15">
      <c r="A93" s="139" t="s">
        <v>454</v>
      </c>
      <c r="B93" s="140" t="s">
        <v>455</v>
      </c>
      <c r="C93" s="149">
        <v>2</v>
      </c>
      <c r="D93" s="141" t="s">
        <v>456</v>
      </c>
      <c r="E93" s="151"/>
      <c r="F93" s="142"/>
      <c r="G93" s="143"/>
    </row>
    <row r="94" spans="1:7" ht="33.75" x14ac:dyDescent="0.15">
      <c r="A94" s="139" t="s">
        <v>457</v>
      </c>
      <c r="B94" s="140" t="s">
        <v>458</v>
      </c>
      <c r="C94" s="149">
        <v>2</v>
      </c>
      <c r="D94" s="141" t="s">
        <v>456</v>
      </c>
      <c r="E94" s="141"/>
      <c r="F94" s="142"/>
      <c r="G94" s="143"/>
    </row>
    <row r="95" spans="1:7" ht="33.75" x14ac:dyDescent="0.15">
      <c r="A95" s="139" t="s">
        <v>459</v>
      </c>
      <c r="B95" s="140" t="s">
        <v>460</v>
      </c>
      <c r="C95" s="149">
        <v>2</v>
      </c>
      <c r="D95" s="141" t="s">
        <v>461</v>
      </c>
      <c r="E95" s="141"/>
      <c r="F95" s="142"/>
      <c r="G95" s="143"/>
    </row>
    <row r="96" spans="1:7" ht="22.5" x14ac:dyDescent="0.15">
      <c r="A96" s="139" t="s">
        <v>462</v>
      </c>
      <c r="B96" s="140" t="s">
        <v>463</v>
      </c>
      <c r="C96" s="149">
        <v>2</v>
      </c>
      <c r="D96" s="141" t="s">
        <v>464</v>
      </c>
      <c r="E96" s="141"/>
      <c r="F96" s="142"/>
      <c r="G96" s="143"/>
    </row>
    <row r="97" spans="1:7" x14ac:dyDescent="0.15">
      <c r="A97" s="139" t="s">
        <v>393</v>
      </c>
      <c r="B97" s="140" t="s">
        <v>465</v>
      </c>
      <c r="C97" s="150">
        <v>8</v>
      </c>
      <c r="D97" s="141"/>
      <c r="E97" s="141"/>
      <c r="F97" s="142"/>
      <c r="G97" s="143"/>
    </row>
    <row r="98" spans="1:7" ht="45" customHeight="1" x14ac:dyDescent="0.15">
      <c r="A98" s="139" t="s">
        <v>454</v>
      </c>
      <c r="B98" s="140" t="s">
        <v>466</v>
      </c>
      <c r="C98" s="149">
        <v>2</v>
      </c>
      <c r="D98" s="141" t="s">
        <v>467</v>
      </c>
      <c r="E98" s="141"/>
      <c r="F98" s="142"/>
      <c r="G98" s="143"/>
    </row>
    <row r="99" spans="1:7" ht="33.75" x14ac:dyDescent="0.15">
      <c r="A99" s="139" t="s">
        <v>457</v>
      </c>
      <c r="B99" s="140" t="s">
        <v>468</v>
      </c>
      <c r="C99" s="149">
        <v>2</v>
      </c>
      <c r="D99" s="141" t="s">
        <v>467</v>
      </c>
      <c r="E99" s="141"/>
      <c r="F99" s="142"/>
      <c r="G99" s="143"/>
    </row>
    <row r="100" spans="1:7" ht="33.75" x14ac:dyDescent="0.15">
      <c r="A100" s="139" t="s">
        <v>459</v>
      </c>
      <c r="B100" s="140" t="s">
        <v>469</v>
      </c>
      <c r="C100" s="149">
        <v>2</v>
      </c>
      <c r="D100" s="141" t="s">
        <v>467</v>
      </c>
      <c r="E100" s="141"/>
      <c r="F100" s="142"/>
      <c r="G100" s="143"/>
    </row>
    <row r="101" spans="1:7" ht="33.75" x14ac:dyDescent="0.15">
      <c r="A101" s="139" t="s">
        <v>462</v>
      </c>
      <c r="B101" s="140" t="s">
        <v>470</v>
      </c>
      <c r="C101" s="149">
        <v>2</v>
      </c>
      <c r="D101" s="141" t="s">
        <v>467</v>
      </c>
      <c r="E101" s="141"/>
      <c r="F101" s="142"/>
      <c r="G101" s="143"/>
    </row>
    <row r="102" spans="1:7" x14ac:dyDescent="0.15">
      <c r="A102" s="139" t="s">
        <v>363</v>
      </c>
      <c r="B102" s="140" t="s">
        <v>471</v>
      </c>
      <c r="C102" s="150">
        <v>8</v>
      </c>
      <c r="D102" s="141"/>
      <c r="E102" s="141"/>
      <c r="F102" s="142"/>
      <c r="G102" s="143"/>
    </row>
    <row r="103" spans="1:7" ht="33.75" x14ac:dyDescent="0.15">
      <c r="A103" s="139" t="s">
        <v>454</v>
      </c>
      <c r="B103" s="140" t="s">
        <v>472</v>
      </c>
      <c r="C103" s="136">
        <v>2</v>
      </c>
      <c r="D103" s="141" t="s">
        <v>467</v>
      </c>
      <c r="E103" s="141"/>
      <c r="F103" s="142"/>
      <c r="G103" s="143"/>
    </row>
    <row r="104" spans="1:7" ht="33.75" x14ac:dyDescent="0.15">
      <c r="A104" s="139" t="s">
        <v>457</v>
      </c>
      <c r="B104" s="140" t="s">
        <v>473</v>
      </c>
      <c r="C104" s="136">
        <v>2</v>
      </c>
      <c r="D104" s="141" t="s">
        <v>467</v>
      </c>
      <c r="E104" s="141"/>
      <c r="F104" s="142"/>
      <c r="G104" s="143"/>
    </row>
    <row r="105" spans="1:7" ht="33.75" x14ac:dyDescent="0.15">
      <c r="A105" s="139" t="s">
        <v>459</v>
      </c>
      <c r="B105" s="140" t="s">
        <v>474</v>
      </c>
      <c r="C105" s="136">
        <v>2</v>
      </c>
      <c r="D105" s="141" t="s">
        <v>467</v>
      </c>
      <c r="E105" s="141"/>
      <c r="F105" s="142"/>
      <c r="G105" s="143"/>
    </row>
    <row r="106" spans="1:7" ht="33.75" x14ac:dyDescent="0.15">
      <c r="A106" s="139" t="s">
        <v>462</v>
      </c>
      <c r="B106" s="140" t="s">
        <v>475</v>
      </c>
      <c r="C106" s="149">
        <v>2</v>
      </c>
      <c r="D106" s="141" t="s">
        <v>467</v>
      </c>
      <c r="E106" s="141"/>
      <c r="F106" s="142"/>
      <c r="G106" s="143"/>
    </row>
    <row r="107" spans="1:7" x14ac:dyDescent="0.15">
      <c r="A107" s="139" t="s">
        <v>370</v>
      </c>
      <c r="B107" s="140" t="s">
        <v>476</v>
      </c>
      <c r="C107" s="150">
        <v>5</v>
      </c>
      <c r="D107" s="141"/>
      <c r="E107" s="141"/>
      <c r="F107" s="142"/>
      <c r="G107" s="143"/>
    </row>
    <row r="108" spans="1:7" ht="22.5" x14ac:dyDescent="0.15">
      <c r="A108" s="139" t="s">
        <v>454</v>
      </c>
      <c r="B108" s="140" t="s">
        <v>96</v>
      </c>
      <c r="C108" s="136">
        <v>1</v>
      </c>
      <c r="D108" s="141" t="s">
        <v>477</v>
      </c>
      <c r="E108" s="141"/>
      <c r="F108" s="142"/>
      <c r="G108" s="143"/>
    </row>
    <row r="109" spans="1:7" ht="22.5" x14ac:dyDescent="0.15">
      <c r="A109" s="139" t="s">
        <v>457</v>
      </c>
      <c r="B109" s="140" t="s">
        <v>478</v>
      </c>
      <c r="C109" s="136">
        <v>1</v>
      </c>
      <c r="D109" s="141" t="s">
        <v>479</v>
      </c>
      <c r="E109" s="141"/>
      <c r="F109" s="142"/>
      <c r="G109" s="143"/>
    </row>
    <row r="110" spans="1:7" ht="22.5" x14ac:dyDescent="0.15">
      <c r="A110" s="139" t="s">
        <v>459</v>
      </c>
      <c r="B110" s="140" t="s">
        <v>480</v>
      </c>
      <c r="C110" s="136">
        <v>1</v>
      </c>
      <c r="D110" s="141" t="s">
        <v>481</v>
      </c>
      <c r="E110" s="141"/>
      <c r="F110" s="142"/>
      <c r="G110" s="143"/>
    </row>
    <row r="111" spans="1:7" ht="22.5" x14ac:dyDescent="0.15">
      <c r="A111" s="139" t="s">
        <v>462</v>
      </c>
      <c r="B111" s="140" t="s">
        <v>482</v>
      </c>
      <c r="C111" s="136">
        <v>1</v>
      </c>
      <c r="D111" s="141" t="s">
        <v>483</v>
      </c>
      <c r="E111" s="141"/>
      <c r="F111" s="142"/>
      <c r="G111" s="143"/>
    </row>
    <row r="112" spans="1:7" x14ac:dyDescent="0.15">
      <c r="A112" s="139" t="s">
        <v>484</v>
      </c>
      <c r="B112" s="140" t="s">
        <v>485</v>
      </c>
      <c r="C112" s="136">
        <v>1</v>
      </c>
      <c r="D112" s="141" t="s">
        <v>486</v>
      </c>
      <c r="E112" s="141"/>
      <c r="F112" s="142"/>
      <c r="G112" s="152"/>
    </row>
    <row r="113" spans="1:7" x14ac:dyDescent="0.15">
      <c r="A113" s="139" t="s">
        <v>377</v>
      </c>
      <c r="B113" s="140" t="s">
        <v>487</v>
      </c>
      <c r="C113" s="150">
        <v>5</v>
      </c>
      <c r="D113" s="141"/>
      <c r="E113" s="141"/>
      <c r="F113" s="142"/>
      <c r="G113" s="143"/>
    </row>
    <row r="114" spans="1:7" ht="22.5" x14ac:dyDescent="0.15">
      <c r="A114" s="139" t="s">
        <v>454</v>
      </c>
      <c r="B114" s="153" t="s">
        <v>488</v>
      </c>
      <c r="C114" s="149">
        <v>1</v>
      </c>
      <c r="D114" s="141" t="s">
        <v>489</v>
      </c>
      <c r="E114" s="141"/>
      <c r="F114" s="142"/>
      <c r="G114" s="143"/>
    </row>
    <row r="115" spans="1:7" ht="22.5" x14ac:dyDescent="0.15">
      <c r="A115" s="139" t="s">
        <v>457</v>
      </c>
      <c r="B115" s="153" t="s">
        <v>490</v>
      </c>
      <c r="C115" s="149">
        <v>1</v>
      </c>
      <c r="D115" s="141" t="s">
        <v>491</v>
      </c>
      <c r="E115" s="141"/>
      <c r="F115" s="142"/>
      <c r="G115" s="143"/>
    </row>
    <row r="116" spans="1:7" ht="22.5" x14ac:dyDescent="0.15">
      <c r="A116" s="253" t="s">
        <v>459</v>
      </c>
      <c r="B116" s="256" t="s">
        <v>492</v>
      </c>
      <c r="C116" s="259">
        <v>2</v>
      </c>
      <c r="D116" s="141" t="s">
        <v>493</v>
      </c>
      <c r="E116" s="141"/>
      <c r="F116" s="262"/>
      <c r="G116" s="143"/>
    </row>
    <row r="117" spans="1:7" x14ac:dyDescent="0.15">
      <c r="A117" s="254"/>
      <c r="B117" s="257"/>
      <c r="C117" s="260"/>
      <c r="D117" s="141" t="s">
        <v>494</v>
      </c>
      <c r="E117" s="141"/>
      <c r="F117" s="263"/>
      <c r="G117" s="143"/>
    </row>
    <row r="118" spans="1:7" x14ac:dyDescent="0.15">
      <c r="A118" s="254"/>
      <c r="B118" s="257"/>
      <c r="C118" s="260"/>
      <c r="D118" s="141" t="s">
        <v>495</v>
      </c>
      <c r="E118" s="141"/>
      <c r="F118" s="263"/>
      <c r="G118" s="143"/>
    </row>
    <row r="119" spans="1:7" x14ac:dyDescent="0.15">
      <c r="A119" s="255"/>
      <c r="B119" s="258"/>
      <c r="C119" s="261"/>
      <c r="D119" s="141" t="s">
        <v>496</v>
      </c>
      <c r="E119" s="141"/>
      <c r="F119" s="264"/>
      <c r="G119" s="143"/>
    </row>
    <row r="120" spans="1:7" ht="22.5" x14ac:dyDescent="0.15">
      <c r="A120" s="139" t="s">
        <v>462</v>
      </c>
      <c r="B120" s="153" t="s">
        <v>497</v>
      </c>
      <c r="C120" s="149">
        <v>1</v>
      </c>
      <c r="D120" s="141" t="s">
        <v>498</v>
      </c>
      <c r="E120" s="141"/>
      <c r="F120" s="142"/>
      <c r="G120" s="143"/>
    </row>
    <row r="121" spans="1:7" x14ac:dyDescent="0.15">
      <c r="A121" s="139" t="s">
        <v>425</v>
      </c>
      <c r="B121" s="140" t="s">
        <v>499</v>
      </c>
      <c r="C121" s="150">
        <v>4</v>
      </c>
      <c r="D121" s="141"/>
      <c r="E121" s="141"/>
      <c r="F121" s="142"/>
      <c r="G121" s="143"/>
    </row>
    <row r="122" spans="1:7" ht="22.5" x14ac:dyDescent="0.15">
      <c r="A122" s="139" t="s">
        <v>454</v>
      </c>
      <c r="B122" s="140" t="s">
        <v>500</v>
      </c>
      <c r="C122" s="149">
        <v>1</v>
      </c>
      <c r="D122" s="141" t="s">
        <v>501</v>
      </c>
      <c r="E122" s="141"/>
      <c r="F122" s="142"/>
      <c r="G122" s="143"/>
    </row>
    <row r="123" spans="1:7" ht="32.25" customHeight="1" x14ac:dyDescent="0.15">
      <c r="A123" s="139" t="s">
        <v>457</v>
      </c>
      <c r="B123" s="140" t="s">
        <v>502</v>
      </c>
      <c r="C123" s="149">
        <v>1</v>
      </c>
      <c r="D123" s="141" t="s">
        <v>503</v>
      </c>
      <c r="E123" s="141"/>
      <c r="F123" s="142"/>
      <c r="G123" s="143"/>
    </row>
    <row r="124" spans="1:7" ht="44.25" customHeight="1" x14ac:dyDescent="0.15">
      <c r="A124" s="139" t="s">
        <v>459</v>
      </c>
      <c r="B124" s="153" t="s">
        <v>504</v>
      </c>
      <c r="C124" s="149">
        <v>1</v>
      </c>
      <c r="D124" s="141" t="s">
        <v>505</v>
      </c>
      <c r="E124" s="141"/>
      <c r="F124" s="142"/>
      <c r="G124" s="143"/>
    </row>
    <row r="125" spans="1:7" ht="33.75" x14ac:dyDescent="0.15">
      <c r="A125" s="139" t="s">
        <v>462</v>
      </c>
      <c r="B125" s="153" t="s">
        <v>506</v>
      </c>
      <c r="C125" s="149">
        <v>1</v>
      </c>
      <c r="D125" s="141" t="s">
        <v>507</v>
      </c>
      <c r="E125" s="141"/>
      <c r="F125" s="142"/>
      <c r="G125" s="143"/>
    </row>
    <row r="126" spans="1:7" ht="14.25" x14ac:dyDescent="0.15">
      <c r="A126" s="157" t="s">
        <v>508</v>
      </c>
      <c r="B126" s="158" t="s">
        <v>528</v>
      </c>
      <c r="C126" s="159">
        <v>10</v>
      </c>
      <c r="D126" s="141"/>
      <c r="E126" s="141"/>
      <c r="F126" s="142"/>
      <c r="G126" s="143"/>
    </row>
    <row r="127" spans="1:7" x14ac:dyDescent="0.15">
      <c r="A127" s="149">
        <v>1</v>
      </c>
      <c r="B127" s="140" t="s">
        <v>509</v>
      </c>
      <c r="C127" s="149">
        <v>1</v>
      </c>
      <c r="D127" s="141" t="s">
        <v>510</v>
      </c>
      <c r="E127" s="141"/>
      <c r="F127" s="142"/>
      <c r="G127" s="143"/>
    </row>
    <row r="128" spans="1:7" ht="45" x14ac:dyDescent="0.15">
      <c r="A128" s="149">
        <v>2</v>
      </c>
      <c r="B128" s="140" t="s">
        <v>511</v>
      </c>
      <c r="C128" s="149">
        <v>5</v>
      </c>
      <c r="D128" s="141" t="s">
        <v>532</v>
      </c>
      <c r="E128" s="141"/>
      <c r="F128" s="142"/>
      <c r="G128" s="143"/>
    </row>
    <row r="129" spans="1:7" ht="33.75" x14ac:dyDescent="0.15">
      <c r="A129" s="139" t="s">
        <v>363</v>
      </c>
      <c r="B129" s="154" t="s">
        <v>512</v>
      </c>
      <c r="C129" s="149">
        <v>2</v>
      </c>
      <c r="D129" s="141" t="s">
        <v>513</v>
      </c>
      <c r="E129" s="141"/>
      <c r="F129" s="142"/>
      <c r="G129" s="143"/>
    </row>
    <row r="130" spans="1:7" x14ac:dyDescent="0.15">
      <c r="A130" s="139" t="s">
        <v>370</v>
      </c>
      <c r="B130" s="140" t="s">
        <v>514</v>
      </c>
      <c r="C130" s="149">
        <v>2</v>
      </c>
      <c r="D130" s="141" t="s">
        <v>515</v>
      </c>
      <c r="E130" s="141"/>
      <c r="F130" s="142"/>
      <c r="G130" s="143"/>
    </row>
    <row r="131" spans="1:7" ht="14.25" x14ac:dyDescent="0.15">
      <c r="A131" s="157" t="s">
        <v>516</v>
      </c>
      <c r="B131" s="158" t="s">
        <v>525</v>
      </c>
      <c r="C131" s="159">
        <v>10</v>
      </c>
      <c r="D131" s="141"/>
      <c r="E131" s="141"/>
      <c r="F131" s="142"/>
      <c r="G131" s="143"/>
    </row>
    <row r="132" spans="1:7" ht="22.5" x14ac:dyDescent="0.15">
      <c r="A132" s="139" t="s">
        <v>385</v>
      </c>
      <c r="B132" s="140" t="s">
        <v>517</v>
      </c>
      <c r="C132" s="149">
        <v>2</v>
      </c>
      <c r="D132" s="141" t="s">
        <v>518</v>
      </c>
      <c r="E132" s="141"/>
      <c r="F132" s="142"/>
      <c r="G132" s="143"/>
    </row>
    <row r="133" spans="1:7" ht="78.75" x14ac:dyDescent="0.15">
      <c r="A133" s="149">
        <v>2</v>
      </c>
      <c r="B133" s="140" t="s">
        <v>519</v>
      </c>
      <c r="C133" s="149">
        <v>4</v>
      </c>
      <c r="D133" s="141" t="s">
        <v>520</v>
      </c>
      <c r="E133" s="141"/>
      <c r="F133" s="142"/>
      <c r="G133" s="143"/>
    </row>
    <row r="134" spans="1:7" ht="45" x14ac:dyDescent="0.15">
      <c r="A134" s="149">
        <v>3</v>
      </c>
      <c r="B134" s="140" t="s">
        <v>521</v>
      </c>
      <c r="C134" s="149">
        <v>2</v>
      </c>
      <c r="D134" s="141" t="s">
        <v>522</v>
      </c>
      <c r="E134" s="141"/>
      <c r="F134" s="142"/>
      <c r="G134" s="143"/>
    </row>
    <row r="135" spans="1:7" ht="22.5" x14ac:dyDescent="0.15">
      <c r="A135" s="149">
        <v>4</v>
      </c>
      <c r="B135" s="140" t="s">
        <v>523</v>
      </c>
      <c r="C135" s="149">
        <v>2</v>
      </c>
      <c r="D135" s="141" t="s">
        <v>524</v>
      </c>
      <c r="E135" s="141"/>
      <c r="F135" s="142"/>
      <c r="G135" s="143"/>
    </row>
    <row r="136" spans="1:7" ht="14.25" x14ac:dyDescent="0.15">
      <c r="A136" s="160" t="s">
        <v>535</v>
      </c>
      <c r="B136" s="161" t="s">
        <v>536</v>
      </c>
      <c r="C136" s="159">
        <v>100</v>
      </c>
      <c r="D136" s="143"/>
      <c r="E136" s="143"/>
      <c r="F136" s="155">
        <f>SUM(F4:F135)</f>
        <v>0</v>
      </c>
      <c r="G136" s="143"/>
    </row>
    <row r="137" spans="1:7" ht="28.5" x14ac:dyDescent="0.15">
      <c r="A137" s="162" t="s">
        <v>537</v>
      </c>
      <c r="B137" s="163" t="s">
        <v>551</v>
      </c>
      <c r="C137" s="162"/>
      <c r="D137" s="143"/>
      <c r="E137" s="143"/>
      <c r="F137" s="155"/>
      <c r="G137" s="143"/>
    </row>
    <row r="138" spans="1:7" ht="14.25" x14ac:dyDescent="0.15">
      <c r="A138" s="160" t="s">
        <v>538</v>
      </c>
      <c r="B138" s="161" t="s">
        <v>539</v>
      </c>
      <c r="C138" s="160"/>
      <c r="D138" s="143"/>
      <c r="E138" s="143"/>
      <c r="F138" s="155">
        <f>F136+F137</f>
        <v>0</v>
      </c>
      <c r="G138" s="143"/>
    </row>
    <row r="139" spans="1:7" ht="12" customHeight="1" x14ac:dyDescent="0.15">
      <c r="A139" s="267" t="s">
        <v>540</v>
      </c>
      <c r="B139" s="268" t="s">
        <v>549</v>
      </c>
      <c r="C139" s="229"/>
      <c r="D139" s="230"/>
      <c r="E139" s="230"/>
      <c r="F139" s="230"/>
      <c r="G139" s="231"/>
    </row>
    <row r="140" spans="1:7" ht="12" customHeight="1" x14ac:dyDescent="0.15">
      <c r="A140" s="267"/>
      <c r="B140" s="268"/>
      <c r="C140" s="232"/>
      <c r="D140" s="233"/>
      <c r="E140" s="233"/>
      <c r="F140" s="233"/>
      <c r="G140" s="234"/>
    </row>
    <row r="141" spans="1:7" ht="12" customHeight="1" x14ac:dyDescent="0.15">
      <c r="A141" s="267"/>
      <c r="B141" s="268"/>
      <c r="C141" s="232"/>
      <c r="D141" s="233"/>
      <c r="E141" s="233"/>
      <c r="F141" s="233"/>
      <c r="G141" s="234"/>
    </row>
    <row r="142" spans="1:7" ht="12.75" customHeight="1" x14ac:dyDescent="0.15">
      <c r="A142" s="267"/>
      <c r="B142" s="268"/>
      <c r="C142" s="232"/>
      <c r="D142" s="233"/>
      <c r="E142" s="233"/>
      <c r="F142" s="233"/>
      <c r="G142" s="234"/>
    </row>
    <row r="143" spans="1:7" ht="12.75" customHeight="1" x14ac:dyDescent="0.15">
      <c r="A143" s="267"/>
      <c r="B143" s="268"/>
      <c r="C143" s="232"/>
      <c r="D143" s="233"/>
      <c r="E143" s="233"/>
      <c r="F143" s="233"/>
      <c r="G143" s="234"/>
    </row>
    <row r="144" spans="1:7" ht="10.5" customHeight="1" x14ac:dyDescent="0.15">
      <c r="A144" s="267"/>
      <c r="B144" s="268"/>
      <c r="C144" s="232"/>
      <c r="D144" s="233"/>
      <c r="E144" s="233"/>
      <c r="F144" s="233"/>
      <c r="G144" s="234"/>
    </row>
    <row r="145" spans="1:7" ht="12" hidden="1" customHeight="1" x14ac:dyDescent="0.15">
      <c r="A145" s="267"/>
      <c r="B145" s="268"/>
      <c r="C145" s="235"/>
      <c r="D145" s="236"/>
      <c r="E145" s="236"/>
      <c r="F145" s="236"/>
      <c r="G145" s="237"/>
    </row>
    <row r="146" spans="1:7" ht="28.5" x14ac:dyDescent="0.15">
      <c r="A146" s="160" t="s">
        <v>541</v>
      </c>
      <c r="B146" s="165" t="s">
        <v>542</v>
      </c>
      <c r="C146" s="269"/>
      <c r="D146" s="270"/>
      <c r="E146" s="270"/>
      <c r="F146" s="270"/>
      <c r="G146" s="271"/>
    </row>
    <row r="147" spans="1:7" ht="70.5" customHeight="1" x14ac:dyDescent="0.15">
      <c r="A147" s="265" t="s">
        <v>543</v>
      </c>
      <c r="B147" s="266" t="s">
        <v>548</v>
      </c>
      <c r="C147" s="229"/>
      <c r="D147" s="231"/>
      <c r="E147" s="244" t="s">
        <v>530</v>
      </c>
      <c r="F147" s="245"/>
      <c r="G147" s="246"/>
    </row>
    <row r="148" spans="1:7" ht="70.5" customHeight="1" x14ac:dyDescent="0.15">
      <c r="A148" s="265"/>
      <c r="B148" s="266"/>
      <c r="C148" s="232"/>
      <c r="D148" s="234"/>
      <c r="E148" s="247"/>
      <c r="F148" s="248"/>
      <c r="G148" s="249"/>
    </row>
    <row r="149" spans="1:7" ht="70.5" customHeight="1" x14ac:dyDescent="0.15">
      <c r="A149" s="265"/>
      <c r="B149" s="266"/>
      <c r="C149" s="232"/>
      <c r="D149" s="234"/>
      <c r="E149" s="247"/>
      <c r="F149" s="248"/>
      <c r="G149" s="249"/>
    </row>
    <row r="150" spans="1:7" ht="70.5" customHeight="1" x14ac:dyDescent="0.15">
      <c r="A150" s="265"/>
      <c r="B150" s="266"/>
      <c r="C150" s="235"/>
      <c r="D150" s="237"/>
      <c r="E150" s="250"/>
      <c r="F150" s="251"/>
      <c r="G150" s="252"/>
    </row>
    <row r="151" spans="1:7" s="156" customFormat="1" ht="36" customHeight="1" x14ac:dyDescent="0.15">
      <c r="A151" s="223" t="s">
        <v>545</v>
      </c>
      <c r="B151" s="226" t="s">
        <v>544</v>
      </c>
      <c r="C151" s="238"/>
      <c r="D151" s="239"/>
      <c r="E151" s="244" t="s">
        <v>529</v>
      </c>
      <c r="F151" s="245"/>
      <c r="G151" s="246"/>
    </row>
    <row r="152" spans="1:7" s="156" customFormat="1" ht="36" customHeight="1" x14ac:dyDescent="0.15">
      <c r="A152" s="224"/>
      <c r="B152" s="227"/>
      <c r="C152" s="240"/>
      <c r="D152" s="241"/>
      <c r="E152" s="247"/>
      <c r="F152" s="248"/>
      <c r="G152" s="249"/>
    </row>
    <row r="153" spans="1:7" s="156" customFormat="1" ht="36" customHeight="1" x14ac:dyDescent="0.15">
      <c r="A153" s="224"/>
      <c r="B153" s="227"/>
      <c r="C153" s="240"/>
      <c r="D153" s="241"/>
      <c r="E153" s="247"/>
      <c r="F153" s="248"/>
      <c r="G153" s="249"/>
    </row>
    <row r="154" spans="1:7" s="156" customFormat="1" ht="36" customHeight="1" x14ac:dyDescent="0.15">
      <c r="A154" s="225"/>
      <c r="B154" s="228"/>
      <c r="C154" s="242"/>
      <c r="D154" s="243"/>
      <c r="E154" s="250"/>
      <c r="F154" s="251"/>
      <c r="G154" s="252"/>
    </row>
    <row r="155" spans="1:7" s="156" customFormat="1" ht="36" customHeight="1" x14ac:dyDescent="0.15">
      <c r="A155" s="223" t="s">
        <v>547</v>
      </c>
      <c r="B155" s="226" t="s">
        <v>546</v>
      </c>
      <c r="C155" s="238"/>
      <c r="D155" s="239"/>
      <c r="E155" s="244" t="s">
        <v>531</v>
      </c>
      <c r="F155" s="245"/>
      <c r="G155" s="246"/>
    </row>
    <row r="156" spans="1:7" s="156" customFormat="1" ht="36" customHeight="1" x14ac:dyDescent="0.15">
      <c r="A156" s="224"/>
      <c r="B156" s="227"/>
      <c r="C156" s="240"/>
      <c r="D156" s="241"/>
      <c r="E156" s="247"/>
      <c r="F156" s="248"/>
      <c r="G156" s="249"/>
    </row>
    <row r="157" spans="1:7" s="156" customFormat="1" ht="36" customHeight="1" x14ac:dyDescent="0.15">
      <c r="A157" s="224"/>
      <c r="B157" s="227"/>
      <c r="C157" s="240"/>
      <c r="D157" s="241"/>
      <c r="E157" s="247"/>
      <c r="F157" s="248"/>
      <c r="G157" s="249"/>
    </row>
    <row r="158" spans="1:7" s="156" customFormat="1" ht="36" customHeight="1" x14ac:dyDescent="0.15">
      <c r="A158" s="225"/>
      <c r="B158" s="228"/>
      <c r="C158" s="242"/>
      <c r="D158" s="243"/>
      <c r="E158" s="250"/>
      <c r="F158" s="251"/>
      <c r="G158" s="252"/>
    </row>
  </sheetData>
  <mergeCells count="86">
    <mergeCell ref="A9:A11"/>
    <mergeCell ref="B9:B11"/>
    <mergeCell ref="C9:C11"/>
    <mergeCell ref="F9:F11"/>
    <mergeCell ref="A2:G2"/>
    <mergeCell ref="A1:G1"/>
    <mergeCell ref="A6:A8"/>
    <mergeCell ref="B6:B8"/>
    <mergeCell ref="C6:C8"/>
    <mergeCell ref="F6:F8"/>
    <mergeCell ref="A12:A13"/>
    <mergeCell ref="B12:B13"/>
    <mergeCell ref="C12:C13"/>
    <mergeCell ref="F12:F13"/>
    <mergeCell ref="A15:A17"/>
    <mergeCell ref="B15:B17"/>
    <mergeCell ref="C15:C17"/>
    <mergeCell ref="F15:F17"/>
    <mergeCell ref="A18:A21"/>
    <mergeCell ref="B18:B21"/>
    <mergeCell ref="C18:C21"/>
    <mergeCell ref="F18:F21"/>
    <mergeCell ref="A22:A26"/>
    <mergeCell ref="B22:B26"/>
    <mergeCell ref="C22:C26"/>
    <mergeCell ref="F22:F26"/>
    <mergeCell ref="A27:A31"/>
    <mergeCell ref="B27:B31"/>
    <mergeCell ref="C27:C31"/>
    <mergeCell ref="F27:F31"/>
    <mergeCell ref="A32:A35"/>
    <mergeCell ref="B32:B35"/>
    <mergeCell ref="C32:C35"/>
    <mergeCell ref="F32:F35"/>
    <mergeCell ref="A37:A42"/>
    <mergeCell ref="B37:B42"/>
    <mergeCell ref="C37:C42"/>
    <mergeCell ref="F37:F42"/>
    <mergeCell ref="A43:A50"/>
    <mergeCell ref="B43:B50"/>
    <mergeCell ref="C43:C50"/>
    <mergeCell ref="F43:F50"/>
    <mergeCell ref="A51:A57"/>
    <mergeCell ref="B51:B57"/>
    <mergeCell ref="C51:C57"/>
    <mergeCell ref="F51:F57"/>
    <mergeCell ref="A58:A62"/>
    <mergeCell ref="B58:B62"/>
    <mergeCell ref="C58:C62"/>
    <mergeCell ref="F58:F62"/>
    <mergeCell ref="A63:A70"/>
    <mergeCell ref="B63:B70"/>
    <mergeCell ref="C63:C70"/>
    <mergeCell ref="F63:F70"/>
    <mergeCell ref="A71:A78"/>
    <mergeCell ref="B71:B78"/>
    <mergeCell ref="C71:C78"/>
    <mergeCell ref="F71:F78"/>
    <mergeCell ref="A81:A84"/>
    <mergeCell ref="B81:B84"/>
    <mergeCell ref="C81:C84"/>
    <mergeCell ref="F81:F84"/>
    <mergeCell ref="A85:A90"/>
    <mergeCell ref="B85:B90"/>
    <mergeCell ref="C85:C90"/>
    <mergeCell ref="F85:F90"/>
    <mergeCell ref="A116:A119"/>
    <mergeCell ref="B116:B119"/>
    <mergeCell ref="C116:C119"/>
    <mergeCell ref="F116:F119"/>
    <mergeCell ref="A147:A150"/>
    <mergeCell ref="B147:B150"/>
    <mergeCell ref="A139:A145"/>
    <mergeCell ref="B139:B145"/>
    <mergeCell ref="C146:G146"/>
    <mergeCell ref="A151:A154"/>
    <mergeCell ref="B151:B154"/>
    <mergeCell ref="A155:A158"/>
    <mergeCell ref="C139:G145"/>
    <mergeCell ref="C147:D150"/>
    <mergeCell ref="C151:D154"/>
    <mergeCell ref="C155:D158"/>
    <mergeCell ref="E147:G150"/>
    <mergeCell ref="E155:G158"/>
    <mergeCell ref="E151:G154"/>
    <mergeCell ref="B155:B158"/>
  </mergeCells>
  <phoneticPr fontId="1" type="noConversion"/>
  <pageMargins left="0.55118110236220474" right="0.55118110236220474" top="0.78740157480314965" bottom="0.78740157480314965" header="0.51181102362204722" footer="0.51181102362204722"/>
  <pageSetup paperSize="9" scale="80" fitToHeight="4" orientation="portrait" blackAndWhite="1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autoPageBreaks="0" fitToPage="1"/>
  </sheetPr>
  <dimension ref="A1:R59"/>
  <sheetViews>
    <sheetView showOutlineSymbols="0" workbookViewId="0">
      <selection activeCell="G5" sqref="G5"/>
    </sheetView>
  </sheetViews>
  <sheetFormatPr defaultRowHeight="12" x14ac:dyDescent="0.15"/>
  <cols>
    <col min="1" max="1" width="4.75" style="170" customWidth="1"/>
    <col min="2" max="2" width="22.75" style="170" bestFit="1" customWidth="1"/>
    <col min="3" max="4" width="8.5" style="202" bestFit="1" customWidth="1"/>
    <col min="5" max="6" width="13" style="202" bestFit="1" customWidth="1"/>
    <col min="7" max="7" width="65.625" style="209" bestFit="1" customWidth="1"/>
    <col min="8" max="8" width="4.375" style="170" customWidth="1"/>
    <col min="9" max="9" width="31.5" style="170" bestFit="1" customWidth="1"/>
    <col min="10" max="13" width="15" style="170" bestFit="1" customWidth="1"/>
    <col min="14" max="14" width="9.375" style="170" bestFit="1" customWidth="1"/>
    <col min="15" max="16384" width="9" style="170"/>
  </cols>
  <sheetData>
    <row r="1" spans="1:18" ht="30.75" customHeight="1" x14ac:dyDescent="0.15">
      <c r="B1" s="283" t="s">
        <v>86</v>
      </c>
      <c r="C1" s="283"/>
      <c r="D1" s="283"/>
      <c r="E1" s="283"/>
      <c r="F1" s="171" t="s">
        <v>164</v>
      </c>
      <c r="G1" s="172"/>
      <c r="I1" s="284" t="s">
        <v>306</v>
      </c>
      <c r="J1" s="285"/>
      <c r="K1" s="285"/>
      <c r="L1" s="285"/>
      <c r="M1" s="286"/>
    </row>
    <row r="2" spans="1:18" s="204" customFormat="1" x14ac:dyDescent="0.15">
      <c r="A2" s="173"/>
      <c r="B2" s="173" t="s">
        <v>12</v>
      </c>
      <c r="C2" s="174">
        <f>YEAR(资产负债表!C3)</f>
        <v>2009</v>
      </c>
      <c r="D2" s="174">
        <f>YEAR(资产负债表!D3)</f>
        <v>2010</v>
      </c>
      <c r="E2" s="175">
        <f>资产负债表!E3</f>
        <v>40908</v>
      </c>
      <c r="F2" s="175">
        <f>利润表!F3</f>
        <v>41274</v>
      </c>
      <c r="G2" s="176" t="s">
        <v>13</v>
      </c>
      <c r="I2" s="210"/>
      <c r="J2" s="174">
        <v>2009</v>
      </c>
      <c r="K2" s="174">
        <v>2010</v>
      </c>
      <c r="L2" s="174">
        <v>2011</v>
      </c>
      <c r="M2" s="211"/>
    </row>
    <row r="3" spans="1:18" x14ac:dyDescent="0.15">
      <c r="A3" s="173" t="s">
        <v>50</v>
      </c>
      <c r="B3" s="177" t="s">
        <v>14</v>
      </c>
      <c r="C3" s="178"/>
      <c r="D3" s="178"/>
      <c r="E3" s="179"/>
      <c r="F3" s="180">
        <f>MONTH(F2)</f>
        <v>12</v>
      </c>
      <c r="G3" s="176"/>
      <c r="I3" s="212"/>
      <c r="J3" s="177"/>
      <c r="K3" s="177"/>
      <c r="L3" s="177"/>
      <c r="M3" s="213"/>
    </row>
    <row r="4" spans="1:18" x14ac:dyDescent="0.15">
      <c r="A4" s="181">
        <v>1</v>
      </c>
      <c r="B4" s="182" t="s">
        <v>51</v>
      </c>
      <c r="C4" s="183">
        <f>SUMIF($I:$I,"净利润",$J:$J)/(SUMIF($I:$I,"资本公积",$J:$J)+SUMIF($I:$I,"实收资本",$J:$J))</f>
        <v>0.29248456974039921</v>
      </c>
      <c r="D4" s="183">
        <f>SUMIF($I:$I,"净利润",$K:$K)/(SUMIF($I:$I,"资本公积",$K:$K)+SUMIF($I:$I,"实收资本",$K:$K))</f>
        <v>0.19490737949184037</v>
      </c>
      <c r="E4" s="183">
        <f>SUMIF($I:$I,"净利润",$L:$L)/(SUMIF($I:$I,"资本公积",$L:$L)+SUMIF($I:$I,"实收资本",$L:$L))</f>
        <v>0.17974775398538415</v>
      </c>
      <c r="F4" s="183" t="e">
        <f>SUMIF($I:$I,"净利润",$M:$M)/(SUMIF($I:$I,"资本公积",$M:$M)+SUMIF($I:$I,"实收资本",$M:$M))*12/F3</f>
        <v>#DIV/0!</v>
      </c>
      <c r="G4" s="176" t="s">
        <v>15</v>
      </c>
      <c r="I4" s="214" t="s">
        <v>192</v>
      </c>
      <c r="J4" s="215">
        <f>IF(ISERROR(VLOOKUP($I4,资产负债表!$A:$F,3,0)),0,VLOOKUP($I4,资产负债表!$A:$F,3,0))</f>
        <v>4121126.14</v>
      </c>
      <c r="K4" s="215">
        <f>IF(ISERROR(VLOOKUP($I4,资产负债表!$A:$F,4,0)),0,VLOOKUP($I4,资产负债表!$A:$F,4,0))</f>
        <v>12355447.1</v>
      </c>
      <c r="L4" s="215">
        <f>IF(ISERROR(VLOOKUP($I4,资产负债表!$A:$F,5,0)),0,VLOOKUP($I4,资产负债表!$A:$F,5,0))</f>
        <v>17017326.559999999</v>
      </c>
      <c r="M4" s="216">
        <f>IF(ISERROR(VLOOKUP($I4,资产负债表!$A:$F,6,0)),0,VLOOKUP($I4,资产负债表!$A:$F,6,0))</f>
        <v>0</v>
      </c>
      <c r="N4" s="205"/>
      <c r="O4" s="206"/>
      <c r="P4" s="206"/>
      <c r="Q4" s="206"/>
      <c r="R4" s="206"/>
    </row>
    <row r="5" spans="1:18" x14ac:dyDescent="0.15">
      <c r="A5" s="173">
        <v>2</v>
      </c>
      <c r="B5" s="177" t="s">
        <v>52</v>
      </c>
      <c r="C5" s="184">
        <f>利润表!C22/资产负债表!C46</f>
        <v>5.4147476286259016E-2</v>
      </c>
      <c r="D5" s="184">
        <f>利润表!D22/资产负债表!D46</f>
        <v>4.8508987520477477E-2</v>
      </c>
      <c r="E5" s="184">
        <f>利润表!E22/资产负债表!E46</f>
        <v>3.9117828060272218E-2</v>
      </c>
      <c r="F5" s="184" t="e">
        <f>利润表!F22/资产负债表!F46</f>
        <v>#DIV/0!</v>
      </c>
      <c r="G5" s="176" t="s">
        <v>53</v>
      </c>
      <c r="I5" s="217" t="s">
        <v>211</v>
      </c>
      <c r="J5" s="215">
        <f>IF(ISERROR(VLOOKUP($I5,资产负债表!$A:$F,3,0)),0,VLOOKUP($I5,资产负债表!$A:$F,3,0))</f>
        <v>0</v>
      </c>
      <c r="K5" s="215">
        <f>IF(ISERROR(VLOOKUP($I5,资产负债表!$A:$F,4,0)),0,VLOOKUP($I5,资产负债表!$A:$F,4,0))</f>
        <v>0</v>
      </c>
      <c r="L5" s="215">
        <f>IF(ISERROR(VLOOKUP($I5,资产负债表!$A:$F,5,0)),0,VLOOKUP($I5,资产负债表!$A:$F,5,0))</f>
        <v>0</v>
      </c>
      <c r="M5" s="216">
        <f>IF(ISERROR(VLOOKUP($I5,资产负债表!$A:$F,6,0)),0,VLOOKUP($I5,资产负债表!$A:$F,6,0))</f>
        <v>0</v>
      </c>
      <c r="N5" s="205"/>
      <c r="O5" s="206"/>
      <c r="P5" s="206"/>
      <c r="Q5" s="206"/>
      <c r="R5" s="206"/>
    </row>
    <row r="6" spans="1:18" x14ac:dyDescent="0.15">
      <c r="A6" s="181">
        <v>3</v>
      </c>
      <c r="B6" s="185" t="s">
        <v>54</v>
      </c>
      <c r="C6" s="183">
        <f>SUMIF($I:$I,"净利润",$J:$J)/SUMIF($I:$I,"净资产",$J:$J)</f>
        <v>0.15072952680628871</v>
      </c>
      <c r="D6" s="183">
        <f>SUMIF($I:$I,"净利润",$K:$K)/SUMIF($I:$I,"净资产",$K:$K)</f>
        <v>0.11065178862492929</v>
      </c>
      <c r="E6" s="183">
        <f>SUMIF($I:$I,"净利润",$L:$L)/SUMIF($I:$I,"净资产",$L:$L)</f>
        <v>9.2596404640976446E-2</v>
      </c>
      <c r="F6" s="183" t="e">
        <f>SUMIF($I:$I,"净利润",$M:$M)/SUMIF($I:$I,"净资产",$M:$M)*12/$F$3</f>
        <v>#DIV/0!</v>
      </c>
      <c r="G6" s="176" t="s">
        <v>88</v>
      </c>
      <c r="I6" s="214" t="s">
        <v>193</v>
      </c>
      <c r="J6" s="215">
        <f>IF(ISERROR(VLOOKUP($I6,资产负债表!$A:$F,3,0)),0,VLOOKUP($I6,资产负债表!$A:$F,3,0))</f>
        <v>30512485.559999999</v>
      </c>
      <c r="K6" s="215">
        <f>IF(ISERROR(VLOOKUP($I6,资产负债表!$A:$F,4,0)),0,VLOOKUP($I6,资产负债表!$A:$F,4,0))</f>
        <v>37858789.219999999</v>
      </c>
      <c r="L6" s="215">
        <f>IF(ISERROR(VLOOKUP($I6,资产负债表!$A:$F,5,0)),0,VLOOKUP($I6,资产负债表!$A:$F,5,0))</f>
        <v>31518815.370000001</v>
      </c>
      <c r="M6" s="216">
        <f>IF(ISERROR(VLOOKUP($I6,资产负债表!$A:$F,6,0)),0,VLOOKUP($I6,资产负债表!$A:$F,6,0))</f>
        <v>0</v>
      </c>
      <c r="N6" s="205"/>
      <c r="O6" s="206"/>
      <c r="P6" s="206"/>
      <c r="Q6" s="206"/>
      <c r="R6" s="206"/>
    </row>
    <row r="7" spans="1:18" x14ac:dyDescent="0.15">
      <c r="A7" s="181">
        <v>4</v>
      </c>
      <c r="B7" s="185" t="s">
        <v>55</v>
      </c>
      <c r="C7" s="183">
        <f>(SUMIF($I:$I,"利润总额",$J:$J)+SUMIF($I:$I,"财务费用",$J:$J))/SUMIF($I:$I,"期间平均资产",$J:$J)</f>
        <v>7.9148460384460911E-2</v>
      </c>
      <c r="D7" s="183">
        <f>(SUMIF($I:$I,"利润总额",$K:$K)+SUMIF($I:$I,"财务费用",$K:$K))/SUMIF($I:$I,"期间平均资产",$K:$K)</f>
        <v>8.5255325335976309E-2</v>
      </c>
      <c r="E7" s="183">
        <f>(SUMIF($I:$I,"利润总额",$L:$L)+SUMIF($I:$I,"财务费用",$L:$L))/SUMIF($I:$I,"期间平均资产",$L:$L)</f>
        <v>7.7066628276569862E-2</v>
      </c>
      <c r="F7" s="183">
        <f>(SUMIF($I:$I,"利润总额",$M:$M)+SUMIF($I:$I,"财务费用",$M:$M))/SUMIF($I:$I,"期间平均资产",$M:$M)*12/F3</f>
        <v>0</v>
      </c>
      <c r="G7" s="176" t="s">
        <v>87</v>
      </c>
      <c r="I7" s="214" t="s">
        <v>224</v>
      </c>
      <c r="J7" s="215">
        <f>IF(ISERROR(VLOOKUP($I7,资产负债表!$A:$F,3,0)),0,VLOOKUP($I7,资产负债表!$A:$F,3,0))</f>
        <v>15261871.470000001</v>
      </c>
      <c r="K7" s="215">
        <f>IF(ISERROR(VLOOKUP($I7,资产负债表!$A:$F,4,0)),0,VLOOKUP($I7,资产负债表!$A:$F,4,0))</f>
        <v>413989.6</v>
      </c>
      <c r="L7" s="215">
        <f>IF(ISERROR(VLOOKUP($I7,资产负债表!$A:$F,5,0)),0,VLOOKUP($I7,资产负债表!$A:$F,5,0))</f>
        <v>274693.84999999998</v>
      </c>
      <c r="M7" s="216">
        <f>IF(ISERROR(VLOOKUP($I7,资产负债表!$A:$F,6,0)),0,VLOOKUP($I7,资产负债表!$A:$F,6,0))</f>
        <v>0</v>
      </c>
      <c r="N7" s="205"/>
      <c r="O7" s="206"/>
      <c r="P7" s="206"/>
      <c r="Q7" s="206"/>
      <c r="R7" s="206"/>
    </row>
    <row r="8" spans="1:18" x14ac:dyDescent="0.15">
      <c r="A8" s="173">
        <v>5</v>
      </c>
      <c r="B8" s="177" t="s">
        <v>56</v>
      </c>
      <c r="C8" s="184">
        <f>(利润表!C4-利润表!C5)/利润表!C4</f>
        <v>0.11558957132065627</v>
      </c>
      <c r="D8" s="184">
        <f>(利润表!D4-利润表!D5)/利润表!D4</f>
        <v>0.13990841367321291</v>
      </c>
      <c r="E8" s="186">
        <f>(利润表!E4-利润表!E5)/利润表!E4</f>
        <v>0.17582935188326712</v>
      </c>
      <c r="F8" s="184" t="e">
        <f>(利润表!F4-利润表!F5)/利润表!F4</f>
        <v>#DIV/0!</v>
      </c>
      <c r="G8" s="176" t="s">
        <v>16</v>
      </c>
      <c r="I8" s="214" t="s">
        <v>194</v>
      </c>
      <c r="J8" s="215">
        <f>IF(ISERROR(VLOOKUP($I8,资产负债表!$A:$F,3,0)),0,VLOOKUP($I8,资产负债表!$A:$F,3,0))</f>
        <v>5199537.5199999996</v>
      </c>
      <c r="K8" s="215">
        <f>IF(ISERROR(VLOOKUP($I8,资产负债表!$A:$F,4,0)),0,VLOOKUP($I8,资产负债表!$A:$F,4,0))</f>
        <v>6577359.3700000001</v>
      </c>
      <c r="L8" s="215">
        <f>IF(ISERROR(VLOOKUP($I8,资产负债表!$A:$F,5,0)),0,VLOOKUP($I8,资产负债表!$A:$F,5,0))</f>
        <v>17180386.079999998</v>
      </c>
      <c r="M8" s="216">
        <f>IF(ISERROR(VLOOKUP($I8,资产负债表!$A:$F,6,0)),0,VLOOKUP($I8,资产负债表!$A:$F,6,0))</f>
        <v>0</v>
      </c>
      <c r="N8" s="205"/>
      <c r="O8" s="206"/>
      <c r="P8" s="206"/>
      <c r="Q8" s="206"/>
      <c r="R8" s="206"/>
    </row>
    <row r="9" spans="1:18" x14ac:dyDescent="0.15">
      <c r="A9" s="181">
        <v>6</v>
      </c>
      <c r="B9" s="182" t="s">
        <v>309</v>
      </c>
      <c r="C9" s="183">
        <f>SUMIF($I:$I,"主营业务利润",J:J)/SUMIF($I:$I,"主营业务收入",J:J)</f>
        <v>0.1110420961049874</v>
      </c>
      <c r="D9" s="183">
        <f>SUMIF($I:$I,"主营业务利润",K:K)/SUMIF($I:$I,"主营业务收入",K:K)</f>
        <v>0.13711266937780844</v>
      </c>
      <c r="E9" s="183">
        <f>SUMIF($I:$I,"主营业务利润",L:L)/SUMIF($I:$I,"主营业务收入",L:L)</f>
        <v>0.17299402835068475</v>
      </c>
      <c r="F9" s="183" t="e">
        <f>SUMIF($I:$I,"主营业务利润",M:M)/SUMIF($I:$I,"主营业务收入",M:M)</f>
        <v>#DIV/0!</v>
      </c>
      <c r="G9" s="176" t="s">
        <v>307</v>
      </c>
      <c r="I9" s="214" t="s">
        <v>209</v>
      </c>
      <c r="J9" s="215">
        <f>IF(ISERROR(VLOOKUP($I9,资产负债表!$A:$F,3,0)),0,VLOOKUP($I9,资产负债表!$A:$F,3,0))</f>
        <v>119043051.41999999</v>
      </c>
      <c r="K9" s="215">
        <f>IF(ISERROR(VLOOKUP($I9,资产负债表!$A:$F,4,0)),0,VLOOKUP($I9,资产负债表!$A:$F,4,0))</f>
        <v>157100364.75</v>
      </c>
      <c r="L9" s="215">
        <f>IF(ISERROR(VLOOKUP($I9,资产负债表!$A:$F,5,0)),0,VLOOKUP($I9,资产负债表!$A:$F,5,0))</f>
        <v>142926129.44999999</v>
      </c>
      <c r="M9" s="216">
        <f>IF(ISERROR(VLOOKUP($I9,资产负债表!$A:$F,6,0)),0,VLOOKUP($I9,资产负债表!$A:$F,6,0))</f>
        <v>0</v>
      </c>
      <c r="N9" s="205"/>
      <c r="O9" s="206"/>
      <c r="P9" s="206"/>
      <c r="Q9" s="206"/>
      <c r="R9" s="206"/>
    </row>
    <row r="10" spans="1:18" x14ac:dyDescent="0.15">
      <c r="A10" s="173">
        <v>7</v>
      </c>
      <c r="B10" s="187" t="s">
        <v>57</v>
      </c>
      <c r="C10" s="184">
        <f>利润表!C22/利润表!C4</f>
        <v>4.9107265383528977E-2</v>
      </c>
      <c r="D10" s="184">
        <f>利润表!D22/利润表!D4</f>
        <v>5.3656768769268948E-2</v>
      </c>
      <c r="E10" s="186">
        <f>利润表!E22/利润表!E4</f>
        <v>5.0353061858377984E-2</v>
      </c>
      <c r="F10" s="184" t="e">
        <f>利润表!F22/利润表!F4</f>
        <v>#DIV/0!</v>
      </c>
      <c r="G10" s="176" t="s">
        <v>17</v>
      </c>
      <c r="I10" s="214"/>
      <c r="J10" s="215"/>
      <c r="K10" s="215"/>
      <c r="L10" s="215"/>
      <c r="M10" s="216"/>
      <c r="N10" s="205"/>
      <c r="O10" s="206"/>
      <c r="P10" s="206"/>
      <c r="Q10" s="206"/>
      <c r="R10" s="206"/>
    </row>
    <row r="11" spans="1:18" x14ac:dyDescent="0.15">
      <c r="A11" s="181">
        <v>8</v>
      </c>
      <c r="B11" s="182" t="s">
        <v>127</v>
      </c>
      <c r="C11" s="188">
        <f>SUMIF($I:$I,"经营活动产生的现金流量净额",$J:$J)/SUMIF($I:$I,"净利润",$J:$J)</f>
        <v>0.4075528308856865</v>
      </c>
      <c r="D11" s="188">
        <f>SUMIF($I:$I,"经营活动产生的现金流量净额",$K:$K)/SUMIF($I:$I,"净利润",$K:$K)</f>
        <v>0.3734935255688771</v>
      </c>
      <c r="E11" s="188">
        <f>SUMIF($I:$I,"经营活动产生的现金流量净额",$L:$L)/SUMIF($I:$I,"净利润",$L:$L)</f>
        <v>0.4761393829225713</v>
      </c>
      <c r="F11" s="188" t="e">
        <f>SUMIF($I:$I,"经营活动产生的现金流量净额",$M:$M)/SUMIF($I:$I,"净利润",$M:$M)</f>
        <v>#DIV/0!</v>
      </c>
      <c r="G11" s="176" t="s">
        <v>128</v>
      </c>
      <c r="I11" s="214" t="s">
        <v>205</v>
      </c>
      <c r="J11" s="215">
        <f>IF(ISERROR(VLOOKUP($I11,资产负债表!$A:$F,3,0)),0,VLOOKUP($I11,资产负债表!$A:$F,3,0))</f>
        <v>550000</v>
      </c>
      <c r="K11" s="215">
        <f>IF(ISERROR(VLOOKUP($I11,资产负债表!$A:$F,4,0)),0,VLOOKUP($I11,资产负债表!$A:$F,4,0))</f>
        <v>550000</v>
      </c>
      <c r="L11" s="215">
        <f>IF(ISERROR(VLOOKUP($I11,资产负债表!$A:$F,5,0)),0,VLOOKUP($I11,资产负债表!$A:$F,5,0))</f>
        <v>550000</v>
      </c>
      <c r="M11" s="216">
        <f>IF(ISERROR(VLOOKUP($I11,资产负债表!$A:$F,6,0)),0,VLOOKUP($I11,资产负债表!$A:$F,6,0))</f>
        <v>0</v>
      </c>
      <c r="N11" s="205"/>
      <c r="O11" s="206"/>
      <c r="P11" s="206"/>
      <c r="Q11" s="206"/>
      <c r="R11" s="206"/>
    </row>
    <row r="12" spans="1:18" x14ac:dyDescent="0.15">
      <c r="A12" s="181">
        <v>9</v>
      </c>
      <c r="B12" s="182" t="s">
        <v>58</v>
      </c>
      <c r="C12" s="183">
        <f>SUMIF($I:$I,"利润总额",$J:$J)/(SUMIF($I:$I,"主营业务成本",$J:$J)+SUMIF($I:$I,"营业费用",$J:$J)+SUMIF($I:$I,"管理费用",$J:$J)+SUMIF($I:$I,"财务费用",$J:$J)+SUMIF($I:$I,"主营业务税金及附加",$J:$J))</f>
        <v>7.0057928342501644E-2</v>
      </c>
      <c r="D12" s="183">
        <f>SUMIF($I:$I,"利润总额",$K:$K)/(SUMIF($I:$I,"主营业务成本",$K:$K)+SUMIF($I:$I,"营业费用",$K:$K)+SUMIF($I:$I,"管理费用",$K:$K)+SUMIF($I:$I,"财务费用",$K:$K)+SUMIF($I:$I,"主营业务税金及附加",$K:$K))</f>
        <v>7.7059806326808533E-2</v>
      </c>
      <c r="E12" s="183">
        <f>SUMIF($I:$I,"利润总额",$L:$L)/(SUMIF($I:$I,"主营业务成本",$L:$L)+SUMIF($I:$I,"营业费用",$L:$L)+SUMIF($I:$I,"管理费用",$L:$L)+SUMIF($I:$I,"财务费用",$L:$L)+SUMIF($I:$I,"主营业务税金及附加",$L:$L))</f>
        <v>7.1849466470470774E-2</v>
      </c>
      <c r="F12" s="183" t="e">
        <f>SUMIF($I:$I,"利润总额",$M:$M)/(SUMIF($I:$I,"主营业务成本",$M:$M)+SUMIF($I:$I,"营业费用",$M:$M)+SUMIF($I:$I,"管理费用",$M:$M)+SUMIF($I:$I,"财务费用",$M:$M)+SUMIF($I:$I,"主营业务税金及附加",$M:$M))</f>
        <v>#DIV/0!</v>
      </c>
      <c r="G12" s="176" t="s">
        <v>299</v>
      </c>
      <c r="I12" s="214" t="s">
        <v>201</v>
      </c>
      <c r="J12" s="215">
        <f>IF(ISERROR(VLOOKUP($I12,资产负债表!$A:$F,3,0)),0,VLOOKUP($I12,资产负债表!$A:$F,3,0))</f>
        <v>52275975.140000001</v>
      </c>
      <c r="K12" s="215">
        <f>IF(ISERROR(VLOOKUP($I12,资产负债表!$A:$F,4,0)),0,VLOOKUP($I12,资产负债表!$A:$F,4,0))</f>
        <v>54570473</v>
      </c>
      <c r="L12" s="215">
        <f>IF(ISERROR(VLOOKUP($I12,资产负债表!$A:$F,5,0)),0,VLOOKUP($I12,资产负债表!$A:$F,5,0))</f>
        <v>99224381.819999993</v>
      </c>
      <c r="M12" s="216">
        <f>IF(ISERROR(VLOOKUP($I12,资产负债表!$A:$F,6,0)),0,VLOOKUP($I12,资产负债表!$A:$F,6,0))</f>
        <v>0</v>
      </c>
      <c r="N12" s="205"/>
      <c r="O12" s="206"/>
      <c r="P12" s="206"/>
      <c r="Q12" s="206"/>
      <c r="R12" s="206"/>
    </row>
    <row r="13" spans="1:18" x14ac:dyDescent="0.15">
      <c r="A13" s="173">
        <v>10</v>
      </c>
      <c r="B13" s="177" t="s">
        <v>18</v>
      </c>
      <c r="C13" s="178"/>
      <c r="D13" s="178"/>
      <c r="E13" s="179"/>
      <c r="F13" s="178"/>
      <c r="G13" s="176"/>
      <c r="I13" s="214" t="s">
        <v>206</v>
      </c>
      <c r="J13" s="215">
        <f>IF(ISERROR(VLOOKUP($I13,资产负债表!$A:$F,3,0)),0,VLOOKUP($I13,资产负债表!$A:$F,3,0))</f>
        <v>0</v>
      </c>
      <c r="K13" s="215">
        <f>IF(ISERROR(VLOOKUP($I13,资产负债表!$A:$F,4,0)),0,VLOOKUP($I13,资产负债表!$A:$F,4,0))</f>
        <v>0</v>
      </c>
      <c r="L13" s="215">
        <f>IF(ISERROR(VLOOKUP($I13,资产负债表!$A:$F,5,0)),0,VLOOKUP($I13,资产负债表!$A:$F,5,0))</f>
        <v>0</v>
      </c>
      <c r="M13" s="216">
        <f>IF(ISERROR(VLOOKUP($I13,资产负债表!$A:$F,6,0)),0,VLOOKUP($I13,资产负债表!$A:$F,6,0))</f>
        <v>0</v>
      </c>
      <c r="N13" s="205"/>
      <c r="O13" s="206"/>
      <c r="P13" s="206"/>
      <c r="Q13" s="206"/>
      <c r="R13" s="206"/>
    </row>
    <row r="14" spans="1:18" x14ac:dyDescent="0.15">
      <c r="A14" s="173">
        <v>11</v>
      </c>
      <c r="B14" s="187" t="s">
        <v>59</v>
      </c>
      <c r="C14" s="189">
        <f>资产负债表!C21/资产负债表!C64</f>
        <v>1.0809568239392782</v>
      </c>
      <c r="D14" s="189">
        <f>资产负债表!D21/资产负债表!D64</f>
        <v>1.3181255609865596</v>
      </c>
      <c r="E14" s="189">
        <f>资产负债表!E21/资产负债表!E64</f>
        <v>1.019659632884661</v>
      </c>
      <c r="F14" s="189" t="e">
        <f>资产负债表!F21/资产负债表!F64</f>
        <v>#DIV/0!</v>
      </c>
      <c r="G14" s="176" t="s">
        <v>19</v>
      </c>
      <c r="I14" s="214" t="s">
        <v>40</v>
      </c>
      <c r="J14" s="215">
        <f>IF(ISERROR(VLOOKUP($I14,资产负债表!$A:$F,3,0)),0,VLOOKUP($I14,资产负债表!$A:$F,3,0))</f>
        <v>52825975.140000001</v>
      </c>
      <c r="K14" s="215">
        <f>IF(ISERROR(VLOOKUP($I14,资产负债表!$A:$F,4,0)),0,VLOOKUP($I14,资产负债表!$A:$F,4,0))</f>
        <v>55120473</v>
      </c>
      <c r="L14" s="215">
        <f>IF(ISERROR(VLOOKUP($I14,资产负债表!$A:$F,5,0)),0,VLOOKUP($I14,资产负债表!$A:$F,5,0))</f>
        <v>99774381.819999993</v>
      </c>
      <c r="M14" s="216">
        <f>IF(ISERROR(VLOOKUP($I14,资产负债表!$A:$F,6,0)),0,VLOOKUP($I14,资产负债表!$A:$F,6,0))</f>
        <v>0</v>
      </c>
      <c r="N14" s="205"/>
      <c r="O14" s="206"/>
      <c r="P14" s="206"/>
      <c r="Q14" s="206"/>
      <c r="R14" s="206"/>
    </row>
    <row r="15" spans="1:18" x14ac:dyDescent="0.15">
      <c r="A15" s="181">
        <v>12</v>
      </c>
      <c r="B15" s="185" t="s">
        <v>60</v>
      </c>
      <c r="C15" s="190">
        <f>SUMIF($I:$I,"速动资产",$J:$J)/SUMIF($I:$I,"流动负债合计",$J:$J)</f>
        <v>1.0337430177025537</v>
      </c>
      <c r="D15" s="190">
        <f>SUMIF($I:$I,"速动资产",$K:$K)/SUMIF($I:$I,"流动负债合计",$K:$K)</f>
        <v>1.2629392759439499</v>
      </c>
      <c r="E15" s="190">
        <f>SUMIF($I:$I,"速动资产",$L:$L)/SUMIF($I:$I,"流动负债合计",$L:$L)</f>
        <v>0.89709179850362908</v>
      </c>
      <c r="F15" s="190" t="e">
        <f>SUMIF($I:$I,"速动资产",$M:$M)/SUMIF($I:$I,"流动负债合计",$M:$M)</f>
        <v>#DIV/0!</v>
      </c>
      <c r="G15" s="176" t="s">
        <v>20</v>
      </c>
      <c r="I15" s="214"/>
      <c r="J15" s="215"/>
      <c r="K15" s="215"/>
      <c r="L15" s="215"/>
      <c r="M15" s="216"/>
      <c r="N15" s="205"/>
      <c r="O15" s="206"/>
      <c r="P15" s="206"/>
      <c r="Q15" s="206"/>
      <c r="R15" s="206"/>
    </row>
    <row r="16" spans="1:18" s="208" customFormat="1" x14ac:dyDescent="0.15">
      <c r="A16" s="181">
        <v>13</v>
      </c>
      <c r="B16" s="191" t="s">
        <v>148</v>
      </c>
      <c r="C16" s="192">
        <f>SUMIF($I:$I,"经营活动产生的现金流量净额",$J:$J)/SUMIF($I:$I,"流动负债合计",$J:$J)</f>
        <v>3.4440071786921447E-2</v>
      </c>
      <c r="D16" s="192">
        <f>SUMIF($I:$I,"经营活动产生的现金流量净额",$K:$K)/SUMIF($I:$I,"流动负债合计",$K:$K)</f>
        <v>3.2260634223023339E-2</v>
      </c>
      <c r="E16" s="192">
        <f>SUMIF($I:$I,"经营活动产生的现金流量净额",$L:$L)/SUMIF($I:$I,"流动负债合计",$L:$L)</f>
        <v>3.224951019938814E-2</v>
      </c>
      <c r="F16" s="192" t="e">
        <f>SUMIF($I:$I,"经营活动产生的现金流量净额",$M:$M)/SUMIF($I:$I,"流动负债合计",$M:$M)*12/$F$3</f>
        <v>#DIV/0!</v>
      </c>
      <c r="G16" s="193" t="s">
        <v>149</v>
      </c>
      <c r="H16" s="170"/>
      <c r="I16" s="214" t="s">
        <v>202</v>
      </c>
      <c r="J16" s="215">
        <f>IF(ISERROR(VLOOKUP($I16,资产负债表!$A:$F,3,0)),0,VLOOKUP($I16,资产负债表!$A:$F,3,0))</f>
        <v>171869026.56</v>
      </c>
      <c r="K16" s="215">
        <f>IF(ISERROR(VLOOKUP($I16,资产负债表!$A:$F,4,0)),0,VLOOKUP($I16,资产负债表!$A:$F,4,0))</f>
        <v>212220837.75</v>
      </c>
      <c r="L16" s="215">
        <f>IF(ISERROR(VLOOKUP($I16,资产负债表!$A:$F,5,0)),0,VLOOKUP($I16,资产负债表!$A:$F,5,0))</f>
        <v>242700511.26999998</v>
      </c>
      <c r="M16" s="216">
        <f>IF(ISERROR(VLOOKUP($I16,资产负债表!$A:$F,6,0)),0,VLOOKUP($I16,资产负债表!$A:$F,6,0))</f>
        <v>0</v>
      </c>
      <c r="N16" s="207"/>
      <c r="O16" s="206"/>
      <c r="P16" s="206"/>
      <c r="Q16" s="206"/>
      <c r="R16" s="206"/>
    </row>
    <row r="17" spans="1:18" x14ac:dyDescent="0.15">
      <c r="A17" s="173">
        <v>14</v>
      </c>
      <c r="B17" s="177" t="s">
        <v>21</v>
      </c>
      <c r="C17" s="178"/>
      <c r="D17" s="178"/>
      <c r="E17" s="179"/>
      <c r="F17" s="178"/>
      <c r="G17" s="176"/>
      <c r="I17" s="214"/>
      <c r="J17" s="215"/>
      <c r="K17" s="215"/>
      <c r="L17" s="215"/>
      <c r="M17" s="216"/>
      <c r="N17" s="205"/>
      <c r="O17" s="206"/>
      <c r="P17" s="206"/>
      <c r="Q17" s="206"/>
      <c r="R17" s="206"/>
    </row>
    <row r="18" spans="1:18" x14ac:dyDescent="0.15">
      <c r="A18" s="181">
        <v>15</v>
      </c>
      <c r="B18" s="185" t="s">
        <v>61</v>
      </c>
      <c r="C18" s="183">
        <f>SUMIF($I:$I,"负债合计",$J:$J)/SUMIF($I:$I,"资产合计",$J:$J)</f>
        <v>0.64076397349905378</v>
      </c>
      <c r="D18" s="183">
        <f>SUMIF($I:$I,"负债合计",$K:$K)/SUMIF($I:$I,"资产合计",$K:$K)</f>
        <v>0.56160683778094267</v>
      </c>
      <c r="E18" s="183">
        <f>SUMIF($I:$I,"负债合计",$L:$L)/SUMIF($I:$I,"资产合计",$L:$L)</f>
        <v>0.57754484947937712</v>
      </c>
      <c r="F18" s="183" t="e">
        <f>SUMIF($I:$I,"负债合计",$M:$M)/SUMIF($I:$I,"资产合计",$M:$M)</f>
        <v>#DIV/0!</v>
      </c>
      <c r="G18" s="176" t="s">
        <v>22</v>
      </c>
      <c r="H18" s="208"/>
      <c r="I18" s="214" t="s">
        <v>243</v>
      </c>
      <c r="J18" s="215">
        <f>IF(ISERROR(VLOOKUP($I18,资产负债表!$A:$F,3,0)),0,VLOOKUP($I18,资产负债表!$A:$F,3,0))</f>
        <v>31000000</v>
      </c>
      <c r="K18" s="215">
        <f>IF(ISERROR(VLOOKUP($I18,资产负债表!$A:$F,4,0)),0,VLOOKUP($I18,资产负债表!$A:$F,4,0))</f>
        <v>35000000</v>
      </c>
      <c r="L18" s="215">
        <f>IF(ISERROR(VLOOKUP($I18,资产负债表!$A:$F,5,0)),0,VLOOKUP($I18,资产负债表!$A:$F,5,0))</f>
        <v>50000000</v>
      </c>
      <c r="M18" s="216">
        <f>IF(ISERROR(VLOOKUP($I18,资产负债表!$A:$F,6,0)),0,VLOOKUP($I18,资产负债表!$A:$F,6,0))</f>
        <v>0</v>
      </c>
      <c r="N18" s="205"/>
      <c r="O18" s="206"/>
      <c r="P18" s="206"/>
      <c r="Q18" s="206"/>
      <c r="R18" s="206"/>
    </row>
    <row r="19" spans="1:18" x14ac:dyDescent="0.15">
      <c r="A19" s="173">
        <v>16</v>
      </c>
      <c r="B19" s="177" t="s">
        <v>89</v>
      </c>
      <c r="C19" s="194">
        <f>资产负债表!C75/资产负债表!C89</f>
        <v>1.7836851713906983</v>
      </c>
      <c r="D19" s="194">
        <f>资产负债表!D75/资产负债表!D89</f>
        <v>1.2810574757557864</v>
      </c>
      <c r="E19" s="194">
        <f>资产负债表!E75/资产负债表!E89</f>
        <v>1.3671151807893107</v>
      </c>
      <c r="F19" s="194" t="e">
        <f>资产负债表!F75/资产负债表!F89</f>
        <v>#DIV/0!</v>
      </c>
      <c r="G19" s="176" t="s">
        <v>23</v>
      </c>
      <c r="H19" s="208"/>
      <c r="I19" s="214" t="s">
        <v>198</v>
      </c>
      <c r="J19" s="215">
        <f>IF(ISERROR(VLOOKUP($I19,资产负债表!$A:$F,3,0)),0,VLOOKUP($I19,资产负债表!$A:$F,3,0))</f>
        <v>77173936.140000001</v>
      </c>
      <c r="K19" s="215">
        <f>IF(ISERROR(VLOOKUP($I19,资产负债表!$A:$F,4,0)),0,VLOOKUP($I19,资产负债表!$A:$F,4,0))</f>
        <v>10258696.800000001</v>
      </c>
      <c r="L19" s="215">
        <f>IF(ISERROR(VLOOKUP($I19,资产负债表!$A:$F,5,0)),0,VLOOKUP($I19,资产负债表!$A:$F,5,0))</f>
        <v>29843821.289999999</v>
      </c>
      <c r="M19" s="216">
        <f>IF(ISERROR(VLOOKUP($I19,资产负债表!$A:$F,6,0)),0,VLOOKUP($I19,资产负债表!$A:$F,6,0))</f>
        <v>0</v>
      </c>
      <c r="N19" s="205"/>
      <c r="O19" s="206"/>
      <c r="P19" s="206"/>
      <c r="Q19" s="206"/>
      <c r="R19" s="206"/>
    </row>
    <row r="20" spans="1:18" x14ac:dyDescent="0.15">
      <c r="A20" s="181">
        <v>17</v>
      </c>
      <c r="B20" s="182" t="s">
        <v>150</v>
      </c>
      <c r="C20" s="192">
        <f>(SUMIF($I:$I,"短期借款",J:J)+SUMIF($I:$I,"一年内到期长期负债",J:J)+SUMIF($I:$I,"长期借款",J:J)+SUMIF($I:$I,"应付债券",J:J)+SUMIF($I:$I,"应付利息",J:J))/SUMIF($I:$I,"负债合计",J:J)</f>
        <v>0.28149195725747156</v>
      </c>
      <c r="D20" s="192">
        <f>(SUMIF($I:$I,"短期借款",K:K)+SUMIF($I:$I,"一年内到期长期负债",K:K)+SUMIF($I:$I,"长期借款",K:K)+SUMIF($I:$I,"应付债券",K:K)+SUMIF($I:$I,"应付利息",K:K))/SUMIF($I:$I,"负债合计",K:K)</f>
        <v>0.29366191929563668</v>
      </c>
      <c r="E20" s="192">
        <f>(SUMIF($I:$I,"短期借款",L:L)+SUMIF($I:$I,"一年内到期长期负债",L:L)+SUMIF($I:$I,"长期借款",L:L)+SUMIF($I:$I,"应付债券",L:L)+SUMIF($I:$I,"应付利息",L:L))/SUMIF($I:$I,"负债合计",L:L)</f>
        <v>0.35670861472582233</v>
      </c>
      <c r="F20" s="192" t="e">
        <f>(SUMIF($I:$I,"短期借款",M:M)+SUMIF($I:$I,"一年内到期长期负债",M:M)+SUMIF($I:$I,"长期借款",M:M)+SUMIF($I:$I,"应付债券",M:M)+SUMIF($I:$I,"应付利息",M:M))/SUMIF($I:$I,"负债合计",M:M)</f>
        <v>#DIV/0!</v>
      </c>
      <c r="G20" s="176" t="s">
        <v>311</v>
      </c>
      <c r="I20" s="214" t="s">
        <v>252</v>
      </c>
      <c r="J20" s="215">
        <f>IF(ISERROR(VLOOKUP($I20,资产负债表!$A:$F,3,0)),0,VLOOKUP($I20,资产负债表!$A:$F,3,0))</f>
        <v>0</v>
      </c>
      <c r="K20" s="215">
        <f>IF(ISERROR(VLOOKUP($I20,资产负债表!$A:$F,4,0)),0,VLOOKUP($I20,资产负债表!$A:$F,4,0))</f>
        <v>71963132.680000007</v>
      </c>
      <c r="L20" s="215">
        <f>IF(ISERROR(VLOOKUP($I20,资产负债表!$A:$F,5,0)),0,VLOOKUP($I20,资产负债表!$A:$F,5,0))</f>
        <v>39738662.93</v>
      </c>
      <c r="M20" s="216">
        <f>IF(ISERROR(VLOOKUP($I20,资产负债表!$A:$F,6,0)),0,VLOOKUP($I20,资产负债表!$A:$F,6,0))</f>
        <v>0</v>
      </c>
      <c r="N20" s="205"/>
      <c r="O20" s="206"/>
      <c r="P20" s="206"/>
      <c r="Q20" s="206"/>
      <c r="R20" s="206"/>
    </row>
    <row r="21" spans="1:18" x14ac:dyDescent="0.15">
      <c r="A21" s="181">
        <v>18</v>
      </c>
      <c r="B21" s="185" t="s">
        <v>62</v>
      </c>
      <c r="C21" s="190">
        <f>(SUMIF($I:$I,"利润总额",J:J)+SUMIF($I:$I,"财务费用",J:J))/SUMIF($I:$I,"财务费用",J:J)</f>
        <v>11.385277503174285</v>
      </c>
      <c r="D21" s="190">
        <f>(SUMIF($I:$I,"利润总额",K:K)+SUMIF($I:$I,"财务费用",K:K))/SUMIF($I:$I,"财务费用",K:K)</f>
        <v>6.1861623522447866</v>
      </c>
      <c r="E21" s="190">
        <f>(SUMIF($I:$I,"利润总额",L:L)+SUMIF($I:$I,"财务费用",L:L))/SUMIF($I:$I,"财务费用",L:L)</f>
        <v>3.5987210489309596</v>
      </c>
      <c r="F21" s="190" t="e">
        <f>(SUMIF($I:$I,"利润总额",M:M)+SUMIF($I:$I,"财务费用",M:M))/SUMIF($I:$I,"财务费用",M:M)</f>
        <v>#DIV/0!</v>
      </c>
      <c r="G21" s="176" t="s">
        <v>63</v>
      </c>
      <c r="I21" s="214" t="s">
        <v>255</v>
      </c>
      <c r="J21" s="215">
        <f>IF(ISERROR(VLOOKUP($I21,资产负债表!$A:$F,3,0)),0,VLOOKUP($I21,资产负债表!$A:$F,3,0))</f>
        <v>0</v>
      </c>
      <c r="K21" s="215">
        <f>IF(ISERROR(VLOOKUP($I21,资产负债表!$A:$F,4,0)),0,VLOOKUP($I21,资产负债表!$A:$F,4,0))</f>
        <v>0</v>
      </c>
      <c r="L21" s="215">
        <f>IF(ISERROR(VLOOKUP($I21,资产负债表!$A:$F,5,0)),0,VLOOKUP($I21,资产负债表!$A:$F,5,0))</f>
        <v>0</v>
      </c>
      <c r="M21" s="216">
        <f>IF(ISERROR(VLOOKUP($I21,资产负债表!$A:$F,6,0)),0,VLOOKUP($I21,资产负债表!$A:$F,6,0))</f>
        <v>0</v>
      </c>
      <c r="N21" s="205"/>
      <c r="O21" s="206"/>
      <c r="P21" s="206"/>
      <c r="Q21" s="206"/>
      <c r="R21" s="206"/>
    </row>
    <row r="22" spans="1:18" x14ac:dyDescent="0.15">
      <c r="A22" s="173">
        <v>19</v>
      </c>
      <c r="B22" s="177" t="s">
        <v>64</v>
      </c>
      <c r="C22" s="178"/>
      <c r="D22" s="178"/>
      <c r="E22" s="179"/>
      <c r="F22" s="189"/>
      <c r="G22" s="176"/>
      <c r="I22" s="214" t="s">
        <v>196</v>
      </c>
      <c r="J22" s="215">
        <f>IF(ISERROR(VLOOKUP($I22,资产负债表!$A:$F,3,0)),0,VLOOKUP($I22,资产负债表!$A:$F,3,0))</f>
        <v>110127480.38000001</v>
      </c>
      <c r="K22" s="215">
        <f>IF(ISERROR(VLOOKUP($I22,资产负债表!$A:$F,4,0)),0,VLOOKUP($I22,资产负债表!$A:$F,4,0))</f>
        <v>119184673.59999999</v>
      </c>
      <c r="L22" s="215">
        <f>IF(ISERROR(VLOOKUP($I22,资产负债表!$A:$F,5,0)),0,VLOOKUP($I22,资产负债表!$A:$F,5,0))</f>
        <v>140170430.25</v>
      </c>
      <c r="M22" s="216">
        <f>IF(ISERROR(VLOOKUP($I22,资产负债表!$A:$F,6,0)),0,VLOOKUP($I22,资产负债表!$A:$F,6,0))</f>
        <v>0</v>
      </c>
      <c r="N22" s="205"/>
      <c r="O22" s="206"/>
      <c r="P22" s="206"/>
      <c r="Q22" s="206"/>
      <c r="R22" s="206"/>
    </row>
    <row r="23" spans="1:18" x14ac:dyDescent="0.15">
      <c r="A23" s="181">
        <v>20</v>
      </c>
      <c r="B23" s="185" t="s">
        <v>65</v>
      </c>
      <c r="C23" s="190">
        <f>SUMIF($I:$I,"主营业务收入",J:J)/SUMIF($I:$I,"期间平均资产",J:J)</f>
        <v>1.1026367659320035</v>
      </c>
      <c r="D23" s="190">
        <f>SUMIF($I:$I,"主营业务收入",K:K)/SUMIF($I:$I,"期间平均资产",K:K)</f>
        <v>0.99903997885843099</v>
      </c>
      <c r="E23" s="190">
        <f>SUMIF($I:$I,"主营业务收入",L:L)/SUMIF($I:$I,"期间平均资产",L:L)</f>
        <v>0.82892114422051799</v>
      </c>
      <c r="F23" s="190">
        <f>SUMIF($I:$I,"主营业务收入",M:M)/SUMIF($I:$I,"期间平均资产",M:M)*12/$F$3</f>
        <v>0</v>
      </c>
      <c r="G23" s="176" t="s">
        <v>24</v>
      </c>
      <c r="I23" s="214"/>
      <c r="J23" s="215"/>
      <c r="K23" s="215"/>
      <c r="L23" s="215"/>
      <c r="M23" s="216"/>
      <c r="N23" s="205"/>
      <c r="O23" s="206"/>
      <c r="P23" s="206"/>
      <c r="Q23" s="206"/>
      <c r="R23" s="206"/>
    </row>
    <row r="24" spans="1:18" x14ac:dyDescent="0.15">
      <c r="A24" s="173">
        <v>21</v>
      </c>
      <c r="B24" s="177" t="s">
        <v>66</v>
      </c>
      <c r="C24" s="189">
        <f>利润表!C4/ 资产负债表!C35</f>
        <v>3.6251663809709282</v>
      </c>
      <c r="D24" s="189">
        <f>利润表!D4/(资产负债表!C35+资产负债表!D35)*2</f>
        <v>3.5913325767948172</v>
      </c>
      <c r="E24" s="189">
        <f>利润表!E4/(资产负债表!D35+资产负债表!E35)*2</f>
        <v>2.4519280934420538</v>
      </c>
      <c r="F24" s="189">
        <f>利润表!F4/(资产负债表!E35+资产负债表!F35)*2</f>
        <v>0</v>
      </c>
      <c r="G24" s="176" t="s">
        <v>25</v>
      </c>
      <c r="I24" s="214" t="s">
        <v>257</v>
      </c>
      <c r="J24" s="215">
        <f>IF(ISERROR(VLOOKUP($I24,资产负债表!$A:$F,3,0)),0,VLOOKUP($I24,资产负债表!$A:$F,3,0))</f>
        <v>0</v>
      </c>
      <c r="K24" s="215">
        <f>IF(ISERROR(VLOOKUP($I24,资产负债表!$A:$F,4,0)),0,VLOOKUP($I24,资产负债表!$A:$F,4,0))</f>
        <v>0</v>
      </c>
      <c r="L24" s="215">
        <f>IF(ISERROR(VLOOKUP($I24,资产负债表!$A:$F,5,0)),0,VLOOKUP($I24,资产负债表!$A:$F,5,0))</f>
        <v>0</v>
      </c>
      <c r="M24" s="216">
        <f>IF(ISERROR(VLOOKUP($I24,资产负债表!$A:$F,6,0)),0,VLOOKUP($I24,资产负债表!$A:$F,6,0))</f>
        <v>0</v>
      </c>
      <c r="N24" s="205"/>
      <c r="O24" s="206"/>
      <c r="P24" s="206"/>
      <c r="Q24" s="206"/>
      <c r="R24" s="206"/>
    </row>
    <row r="25" spans="1:18" x14ac:dyDescent="0.15">
      <c r="A25" s="181">
        <v>22</v>
      </c>
      <c r="B25" s="182" t="s">
        <v>91</v>
      </c>
      <c r="C25" s="190">
        <f>SUMIF($I:$I,"主营业务收入",J:J)/SUMIF($I:$I,"平均流动资产",J:J)</f>
        <v>1.5919375834998235</v>
      </c>
      <c r="D25" s="190">
        <f>SUMIF($I:$I,"主营业务收入",K:K)/SUMIF($I:$I,"平均流动资产",K:K)</f>
        <v>1.3895718943513498</v>
      </c>
      <c r="E25" s="190">
        <f>SUMIF($I:$I,"主营业务收入",L:L)/SUMIF($I:$I,"平均流动资产",L:L)</f>
        <v>1.2568687514264201</v>
      </c>
      <c r="F25" s="190">
        <f>SUMIF($I:$I,"主营业务收入",M:M)/SUMIF($I:$I,"平均流动资产",M:M)*12/$F$3</f>
        <v>0</v>
      </c>
      <c r="G25" s="176" t="s">
        <v>90</v>
      </c>
      <c r="I25" s="214" t="s">
        <v>301</v>
      </c>
      <c r="J25" s="215">
        <f>IF(ISERROR(VLOOKUP($I25,资产负债表!$A:$F,3,0)),0,VLOOKUP($I25,资产负债表!$A:$F,3,0))</f>
        <v>0</v>
      </c>
      <c r="K25" s="215">
        <f>IF(ISERROR(VLOOKUP($I25,资产负债表!$A:$F,4,0)),0,VLOOKUP($I25,资产负债表!$A:$F,4,0))</f>
        <v>0</v>
      </c>
      <c r="L25" s="215">
        <f>IF(ISERROR(VLOOKUP($I25,资产负债表!$A:$F,5,0)),0,VLOOKUP($I25,资产负债表!$A:$F,5,0))</f>
        <v>0</v>
      </c>
      <c r="M25" s="216">
        <f>IF(ISERROR(VLOOKUP($I25,资产负债表!$A:$F,6,0)),0,VLOOKUP($I25,资产负债表!$A:$F,6,0))</f>
        <v>0</v>
      </c>
      <c r="N25" s="205"/>
      <c r="O25" s="206"/>
      <c r="P25" s="206"/>
      <c r="Q25" s="206"/>
      <c r="R25" s="206"/>
    </row>
    <row r="26" spans="1:18" x14ac:dyDescent="0.15">
      <c r="A26" s="181">
        <v>23</v>
      </c>
      <c r="B26" s="185" t="s">
        <v>67</v>
      </c>
      <c r="C26" s="190">
        <f>IF(SUMIF($I:$I,"主营业务收入",J:J)/SUMIF($I:$I,"平均应收账款",J:J)&lt;0,0,SUMIF($I:$I,"主营业务收入",J:J)/SUMIF($I:$I,"平均应收账款",J:J))</f>
        <v>6.210870865873833</v>
      </c>
      <c r="D26" s="190">
        <f>IF(SUMIF($I:$I,"主营业务收入",K:K)/SUMIF($I:$I,"平均应收账款",K:K)&lt;0,0,SUMIF($I:$I,"主营业务收入",K:K)/SUMIF($I:$I,"平均应收账款",K:K))</f>
        <v>5.612314983956483</v>
      </c>
      <c r="E26" s="190">
        <f>IF(SUMIF($I:$I,"主营业务收入",L:L)/SUMIF($I:$I,"平均应收账款",L:L)&lt;0,0,SUMIF($I:$I,"主营业务收入",L:L)/SUMIF($I:$I,"平均应收账款",L:L))</f>
        <v>5.4353840463144767</v>
      </c>
      <c r="F26" s="190">
        <f>IF(SUMIF($I:$I,"主营业务收入",M:M)/SUMIF($I:$I,"平均应收账款",M:M)&lt;0,0,SUMIF($I:$I,"主营业务收入",M:M)/SUMIF($I:$I,"平均应收账款",M:M))*12/$F$3</f>
        <v>0</v>
      </c>
      <c r="G26" s="176" t="s">
        <v>329</v>
      </c>
      <c r="I26" s="214" t="s">
        <v>197</v>
      </c>
      <c r="J26" s="215">
        <f>IF(ISERROR(VLOOKUP($I26,资产负债表!$A:$F,3,0)),0,VLOOKUP($I26,资产负债表!$A:$F,3,0))</f>
        <v>0</v>
      </c>
      <c r="K26" s="215">
        <f>IF(ISERROR(VLOOKUP($I26,资产负债表!$A:$F,4,0)),0,VLOOKUP($I26,资产负债表!$A:$F,4,0))</f>
        <v>0</v>
      </c>
      <c r="L26" s="215">
        <f>IF(ISERROR(VLOOKUP($I26,资产负债表!$A:$F,5,0)),0,VLOOKUP($I26,资产负债表!$A:$F,5,0))</f>
        <v>0</v>
      </c>
      <c r="M26" s="216">
        <f>IF(ISERROR(VLOOKUP($I26,资产负债表!$A:$F,6,0)),0,VLOOKUP($I26,资产负债表!$A:$F,6,0))</f>
        <v>0</v>
      </c>
      <c r="N26" s="205"/>
      <c r="O26" s="206"/>
      <c r="P26" s="206"/>
      <c r="Q26" s="206"/>
      <c r="R26" s="206"/>
    </row>
    <row r="27" spans="1:18" x14ac:dyDescent="0.15">
      <c r="A27" s="173">
        <v>24</v>
      </c>
      <c r="B27" s="177" t="s">
        <v>68</v>
      </c>
      <c r="C27" s="189">
        <f>360/C26</f>
        <v>57.962886006542355</v>
      </c>
      <c r="D27" s="189">
        <f>360/D26</f>
        <v>64.144653503786913</v>
      </c>
      <c r="E27" s="189">
        <f>360/E26</f>
        <v>66.232670393199186</v>
      </c>
      <c r="F27" s="189" t="e">
        <f>360/F26</f>
        <v>#DIV/0!</v>
      </c>
      <c r="G27" s="176" t="s">
        <v>69</v>
      </c>
      <c r="I27" s="214" t="s">
        <v>203</v>
      </c>
      <c r="J27" s="215">
        <f>IF(ISERROR(VLOOKUP($I27,资产负债表!$A:$F,3,0)),0,VLOOKUP($I27,资产负债表!$A:$F,3,0))</f>
        <v>110127480.38000001</v>
      </c>
      <c r="K27" s="215">
        <f>IF(ISERROR(VLOOKUP($I27,资产负债表!$A:$F,4,0)),0,VLOOKUP($I27,资产负债表!$A:$F,4,0))</f>
        <v>119184673.59999999</v>
      </c>
      <c r="L27" s="215">
        <f>IF(ISERROR(VLOOKUP($I27,资产负债表!$A:$F,5,0)),0,VLOOKUP($I27,资产负债表!$A:$F,5,0))</f>
        <v>140170430.25</v>
      </c>
      <c r="M27" s="216">
        <f>IF(ISERROR(VLOOKUP($I27,资产负债表!$A:$F,6,0)),0,VLOOKUP($I27,资产负债表!$A:$F,6,0))</f>
        <v>0</v>
      </c>
      <c r="N27" s="205"/>
      <c r="O27" s="206"/>
      <c r="P27" s="206"/>
      <c r="Q27" s="206"/>
      <c r="R27" s="206"/>
    </row>
    <row r="28" spans="1:18" x14ac:dyDescent="0.15">
      <c r="A28" s="173">
        <v>25</v>
      </c>
      <c r="B28" s="177" t="s">
        <v>70</v>
      </c>
      <c r="C28" s="190">
        <f>IF(利润表!C4/资产负债表!C52&lt;0,0,利润表!C4/资产负债表!C52)</f>
        <v>2.4556102369356227</v>
      </c>
      <c r="D28" s="190">
        <f>IF(利润表!D4/(资产负债表!D52+资产负债表!C52)/2&lt;0,0,利润表!D4/(资产负债表!D52+资产负债表!C52)/2)</f>
        <v>1.0971908228570841</v>
      </c>
      <c r="E28" s="190">
        <f>IF(利润表!E4/(资产负债表!E52+资产负债表!D52)/2&lt;0,0,利润表!E4/(资产负债表!E52+资产负债表!D52)/2)</f>
        <v>2.350812013311157</v>
      </c>
      <c r="F28" s="190">
        <f>IF(利润表!F4/(资产负债表!F52+资产负债表!E52)/2&lt;0,0,利润表!F4/(资产负债表!F52+资产负债表!E52)/2)</f>
        <v>0</v>
      </c>
      <c r="G28" s="176" t="s">
        <v>71</v>
      </c>
      <c r="I28" s="214"/>
      <c r="J28" s="215"/>
      <c r="K28" s="215"/>
      <c r="L28" s="215"/>
      <c r="M28" s="216"/>
      <c r="N28" s="205"/>
      <c r="O28" s="206"/>
      <c r="P28" s="206"/>
      <c r="Q28" s="206"/>
      <c r="R28" s="206"/>
    </row>
    <row r="29" spans="1:18" x14ac:dyDescent="0.15">
      <c r="A29" s="173">
        <v>26</v>
      </c>
      <c r="B29" s="177" t="s">
        <v>72</v>
      </c>
      <c r="C29" s="189">
        <f>360/C28</f>
        <v>146.60307022064183</v>
      </c>
      <c r="D29" s="189">
        <f>360/D28</f>
        <v>328.11065541230124</v>
      </c>
      <c r="E29" s="189">
        <f>360/E28</f>
        <v>153.13857422947834</v>
      </c>
      <c r="F29" s="189" t="e">
        <f>360/F28</f>
        <v>#DIV/0!</v>
      </c>
      <c r="G29" s="176" t="s">
        <v>177</v>
      </c>
      <c r="I29" s="214" t="s">
        <v>204</v>
      </c>
      <c r="J29" s="215">
        <f>IF(ISERROR(VLOOKUP($I29,资产负债表!$A:$F,3,0)),0,VLOOKUP($I29,资产负债表!$A:$F,3,0))</f>
        <v>0</v>
      </c>
      <c r="K29" s="215">
        <f>IF(ISERROR(VLOOKUP($I29,资产负债表!$A:$F,4,0)),0,VLOOKUP($I29,资产负债表!$A:$F,4,0))</f>
        <v>0</v>
      </c>
      <c r="L29" s="215">
        <f>IF(ISERROR(VLOOKUP($I29,资产负债表!$A:$F,5,0)),0,VLOOKUP($I29,资产负债表!$A:$F,5,0))</f>
        <v>0</v>
      </c>
      <c r="M29" s="216">
        <f>IF(ISERROR(VLOOKUP($I29,资产负债表!$A:$F,6,0)),0,VLOOKUP($I29,资产负债表!$A:$F,6,0))</f>
        <v>0</v>
      </c>
      <c r="N29" s="205"/>
      <c r="O29" s="206"/>
      <c r="P29" s="206"/>
      <c r="Q29" s="206"/>
      <c r="R29" s="206"/>
    </row>
    <row r="30" spans="1:18" x14ac:dyDescent="0.15">
      <c r="A30" s="181">
        <v>27</v>
      </c>
      <c r="B30" s="185" t="s">
        <v>73</v>
      </c>
      <c r="C30" s="190">
        <f>SUMIF($I:$I,"主营业务成本",J:J)/SUMIF($I:$I,"平均存货",J:J)</f>
        <v>32.234372856299728</v>
      </c>
      <c r="D30" s="190">
        <f>SUMIF($I:$I,"主营业务成本",K:K)/SUMIF($I:$I,"平均存货",K:K)</f>
        <v>28.023962375032728</v>
      </c>
      <c r="E30" s="190">
        <f>SUMIF($I:$I,"主营业务成本",L:L)/SUMIF($I:$I,"平均存货",L:L)</f>
        <v>13.081617755105631</v>
      </c>
      <c r="F30" s="190">
        <f>SUMIF($I:$I,"主营业务成本",M:M)/SUMIF($I:$I,"平均存货",M:M)*12/$F$3</f>
        <v>0</v>
      </c>
      <c r="G30" s="176" t="s">
        <v>26</v>
      </c>
      <c r="I30" s="214" t="s">
        <v>182</v>
      </c>
      <c r="J30" s="215">
        <f>IF(ISERROR(VLOOKUP($I30,资产负债表!$A:$F,3,0)),0,VLOOKUP($I30,资产负债表!$A:$F,3,0))</f>
        <v>6000000</v>
      </c>
      <c r="K30" s="215">
        <f>IF(ISERROR(VLOOKUP($I30,资产负债表!$A:$F,4,0)),0,VLOOKUP($I30,资产负债表!$A:$F,4,0))</f>
        <v>6000000</v>
      </c>
      <c r="L30" s="215">
        <f>IF(ISERROR(VLOOKUP($I30,资产负债表!$A:$F,5,0)),0,VLOOKUP($I30,资产负债表!$A:$F,5,0))</f>
        <v>6000000</v>
      </c>
      <c r="M30" s="216">
        <f>IF(ISERROR(VLOOKUP($I30,资产负债表!$A:$F,6,0)),0,VLOOKUP($I30,资产负债表!$A:$F,6,0))</f>
        <v>0</v>
      </c>
      <c r="N30" s="205"/>
      <c r="O30" s="206"/>
      <c r="P30" s="206"/>
      <c r="Q30" s="206"/>
      <c r="R30" s="206"/>
    </row>
    <row r="31" spans="1:18" x14ac:dyDescent="0.15">
      <c r="A31" s="181">
        <v>28</v>
      </c>
      <c r="B31" s="182" t="s">
        <v>135</v>
      </c>
      <c r="C31" s="183">
        <f>SUMIF($I:$I,"经营活动产生的现金流量净额",J:J)/SUMIF($I:$I,"期间平均资产",J:J)</f>
        <v>2.2067957245780444E-2</v>
      </c>
      <c r="D31" s="183">
        <f>SUMIF($I:$I,"经营活动产生的现金流量净额",K:K)/SUMIF($I:$I,"期间平均资产",K:K)</f>
        <v>2.0021216477072865E-2</v>
      </c>
      <c r="E31" s="183">
        <f>SUMIF($I:$I,"经营活动产生的现金流量净额",L:L)/SUMIF($I:$I,"期间平均资产",L:L)</f>
        <v>1.9873447266161449E-2</v>
      </c>
      <c r="F31" s="190">
        <f>SUMIF($I:$I,"经营活动产生的现金流量净额",M:M)/SUMIF($I:$I,"期间平均资产",M:M)*12/$F$3</f>
        <v>0</v>
      </c>
      <c r="G31" s="176" t="s">
        <v>136</v>
      </c>
      <c r="I31" s="214" t="s">
        <v>184</v>
      </c>
      <c r="J31" s="215">
        <f>IF(ISERROR(VLOOKUP($I31,资产负债表!$A:$F,3,0)),0,VLOOKUP($I31,资产负债表!$A:$F,3,0))</f>
        <v>25818000</v>
      </c>
      <c r="K31" s="215">
        <f>IF(ISERROR(VLOOKUP($I31,资产负债表!$A:$F,4,0)),0,VLOOKUP($I31,资产负债表!$A:$F,4,0))</f>
        <v>46818000</v>
      </c>
      <c r="L31" s="215">
        <f>IF(ISERROR(VLOOKUP($I31,资产负债表!$A:$F,5,0)),0,VLOOKUP($I31,资产负债表!$A:$F,5,0))</f>
        <v>46818000</v>
      </c>
      <c r="M31" s="216">
        <f>IF(ISERROR(VLOOKUP($I31,资产负债表!$A:$F,6,0)),0,VLOOKUP($I31,资产负债表!$A:$F,6,0))</f>
        <v>0</v>
      </c>
      <c r="N31" s="205"/>
      <c r="O31" s="206"/>
      <c r="P31" s="206"/>
      <c r="Q31" s="206"/>
      <c r="R31" s="206"/>
    </row>
    <row r="32" spans="1:18" x14ac:dyDescent="0.15">
      <c r="A32" s="173">
        <v>29</v>
      </c>
      <c r="B32" s="177" t="s">
        <v>74</v>
      </c>
      <c r="C32" s="189">
        <f>360/C30</f>
        <v>11.168202390810384</v>
      </c>
      <c r="D32" s="189">
        <f>360/D30</f>
        <v>12.846149134168597</v>
      </c>
      <c r="E32" s="195">
        <f>360/E30</f>
        <v>27.519532120520449</v>
      </c>
      <c r="F32" s="195" t="e">
        <f>360/F30</f>
        <v>#DIV/0!</v>
      </c>
      <c r="G32" s="176" t="s">
        <v>75</v>
      </c>
      <c r="I32" s="214" t="s">
        <v>213</v>
      </c>
      <c r="J32" s="215">
        <f>IF(ISERROR(VLOOKUP($I32,资产负债表!$A:$F,3,0)),0,VLOOKUP($I32,资产负债表!$A:$F,3,0))</f>
        <v>8969435.3599999994</v>
      </c>
      <c r="K32" s="215">
        <f>IF(ISERROR(VLOOKUP($I32,资产负债表!$A:$F,4,0)),0,VLOOKUP($I32,资产负债表!$A:$F,4,0))</f>
        <v>14448040</v>
      </c>
      <c r="L32" s="215">
        <f>IF(ISERROR(VLOOKUP($I32,资产负债表!$A:$F,5,0)),0,VLOOKUP($I32,资产负债表!$A:$F,5,0))</f>
        <v>22517869.34</v>
      </c>
      <c r="M32" s="216">
        <f>IF(ISERROR(VLOOKUP($I32,资产负债表!$A:$F,6,0)),0,VLOOKUP($I32,资产负债表!$A:$F,6,0))</f>
        <v>0</v>
      </c>
      <c r="N32" s="205"/>
      <c r="O32" s="206"/>
      <c r="P32" s="206"/>
      <c r="Q32" s="206"/>
      <c r="R32" s="206"/>
    </row>
    <row r="33" spans="1:18" x14ac:dyDescent="0.15">
      <c r="A33" s="173">
        <v>30</v>
      </c>
      <c r="B33" s="177" t="s">
        <v>76</v>
      </c>
      <c r="C33" s="189">
        <f>C27+C32</f>
        <v>69.131088397352741</v>
      </c>
      <c r="D33" s="189">
        <f>D27+D32</f>
        <v>76.990802637955511</v>
      </c>
      <c r="E33" s="195">
        <f>E27+E32</f>
        <v>93.752202513719638</v>
      </c>
      <c r="F33" s="195" t="e">
        <f>F27+F32</f>
        <v>#DIV/0!</v>
      </c>
      <c r="G33" s="176" t="s">
        <v>77</v>
      </c>
      <c r="I33" s="214" t="s">
        <v>185</v>
      </c>
      <c r="J33" s="215">
        <f>IF(ISERROR(VLOOKUP($I33,资产负债表!$A:$F,3,0)),0,VLOOKUP($I33,资产负债表!$A:$F,3,0))</f>
        <v>61741546.18</v>
      </c>
      <c r="K33" s="215">
        <f>IF(ISERROR(VLOOKUP($I33,资产负债表!$A:$F,4,0)),0,VLOOKUP($I33,资产负债表!$A:$F,4,0))</f>
        <v>93036164.150000006</v>
      </c>
      <c r="L33" s="215">
        <f>IF(ISERROR(VLOOKUP($I33,资产负债表!$A:$F,5,0)),0,VLOOKUP($I33,资产负债表!$A:$F,5,0))</f>
        <v>102530081.02000001</v>
      </c>
      <c r="M33" s="216">
        <f>IF(ISERROR(VLOOKUP($I33,资产负债表!$A:$F,6,0)),0,VLOOKUP($I33,资产负债表!$A:$F,6,0))</f>
        <v>0</v>
      </c>
      <c r="N33" s="205"/>
      <c r="O33" s="206"/>
      <c r="P33" s="206"/>
      <c r="Q33" s="206"/>
      <c r="R33" s="206"/>
    </row>
    <row r="34" spans="1:18" x14ac:dyDescent="0.15">
      <c r="A34" s="173">
        <v>31</v>
      </c>
      <c r="B34" s="177" t="s">
        <v>95</v>
      </c>
      <c r="C34" s="189"/>
      <c r="D34" s="189"/>
      <c r="E34" s="195"/>
      <c r="F34" s="189"/>
      <c r="G34" s="176"/>
      <c r="I34" s="214"/>
      <c r="J34" s="215"/>
      <c r="K34" s="215"/>
      <c r="L34" s="215"/>
      <c r="M34" s="216"/>
      <c r="N34" s="205"/>
      <c r="O34" s="206"/>
      <c r="P34" s="206"/>
      <c r="Q34" s="206"/>
      <c r="R34" s="206"/>
    </row>
    <row r="35" spans="1:18" x14ac:dyDescent="0.15">
      <c r="A35" s="181">
        <v>32</v>
      </c>
      <c r="B35" s="182" t="s">
        <v>96</v>
      </c>
      <c r="C35" s="192"/>
      <c r="D35" s="192">
        <f>(SUMIF($I:$I,"主营业务收入",K:K)-SUMIF($I:$I,"主营业务收入",J:J))/SUMIF($I:$I,"主营业务收入",J:J)</f>
        <v>1.2408149558907598E-2</v>
      </c>
      <c r="E35" s="192">
        <f>(SUMIF($I:$I,"主营业务收入",L:L)-SUMIF($I:$I,"主营业务收入",K:K))/SUMIF($I:$I,"主营业务收入",K:K)</f>
        <v>-1.7270888265604922E-2</v>
      </c>
      <c r="F35" s="192">
        <f>(SUMIF($I:$I,"主营业务收入",M:M)*12/F3-SUMIF($I:$I,"主营业务收入",L:L))/SUMIF($I:$I,"主营业务收入",L:L)</f>
        <v>-1</v>
      </c>
      <c r="G35" s="176"/>
      <c r="I35" s="214" t="s">
        <v>188</v>
      </c>
      <c r="J35" s="215">
        <f>IF(ISERROR(VLOOKUP($I35,利润表!$A:$F,3,0)),0,VLOOKUP($I35,利润表!$A:$F,3,0))</f>
        <v>189509107.61000001</v>
      </c>
      <c r="K35" s="215">
        <f>IF(ISERROR(VLOOKUP($I35,利润表!$A:$F,4,0)),0,VLOOKUP($I35,利润表!$A:$F,4,0))</f>
        <v>191860564.96000001</v>
      </c>
      <c r="L35" s="215">
        <f>IF(ISERROR(VLOOKUP($I35,利润表!$A:$F,5,0)),0,VLOOKUP($I35,利润表!$A:$F,5,0))</f>
        <v>188546962.58000001</v>
      </c>
      <c r="M35" s="216">
        <f>IF(ISERROR(VLOOKUP($I35,利润表!$A:$F,6,0)),0,VLOOKUP($I35,利润表!$A:$F,6,0))</f>
        <v>0</v>
      </c>
      <c r="N35" s="205"/>
      <c r="O35" s="206"/>
      <c r="P35" s="206"/>
      <c r="Q35" s="206"/>
      <c r="R35" s="206"/>
    </row>
    <row r="36" spans="1:18" x14ac:dyDescent="0.15">
      <c r="A36" s="181">
        <v>33</v>
      </c>
      <c r="B36" s="196" t="s">
        <v>330</v>
      </c>
      <c r="C36" s="192"/>
      <c r="D36" s="192">
        <f>(SUMIF($I:$I,"净资产",K:K)-SUMIF($I:$I,"净资产",J:J))/SUMIF($I:$I,"净资产",J:J)</f>
        <v>0.50686482451806991</v>
      </c>
      <c r="E36" s="192">
        <f>(SUMIF($I:$I,"净资产",L:L)-SUMIF($I:$I,"净资产",K:K))/SUMIF($I:$I,"净资产",K:K)</f>
        <v>0.10204544605572073</v>
      </c>
      <c r="F36" s="192">
        <f>(SUMIF($I:$I,"净资产",M:M)-SUMIF($I:$I,"净资产",L:L))/SUMIF($I:$I,"净资产",L:L)</f>
        <v>-1</v>
      </c>
      <c r="G36" s="176"/>
      <c r="I36" s="214" t="s">
        <v>190</v>
      </c>
      <c r="J36" s="215">
        <f>IF(ISERROR(VLOOKUP($I36,利润表!$A:$F,3,0)),0,VLOOKUP($I36,利润表!$A:$F,3,0))</f>
        <v>167603831.09999999</v>
      </c>
      <c r="K36" s="215">
        <f>IF(ISERROR(VLOOKUP($I36,利润表!$A:$F,4,0)),0,VLOOKUP($I36,利润表!$A:$F,4,0))</f>
        <v>165017657.66999999</v>
      </c>
      <c r="L36" s="215">
        <f>IF(ISERROR(VLOOKUP($I36,利润表!$A:$F,5,0)),0,VLOOKUP($I36,利润表!$A:$F,5,0))</f>
        <v>155394872.34999999</v>
      </c>
      <c r="M36" s="216">
        <f>IF(ISERROR(VLOOKUP($I36,利润表!$A:$F,6,0)),0,VLOOKUP($I36,利润表!$A:$F,6,0))</f>
        <v>0</v>
      </c>
      <c r="N36" s="205"/>
      <c r="O36" s="206"/>
      <c r="P36" s="206"/>
      <c r="Q36" s="206"/>
      <c r="R36" s="206"/>
    </row>
    <row r="37" spans="1:18" x14ac:dyDescent="0.15">
      <c r="A37" s="181">
        <v>34</v>
      </c>
      <c r="B37" s="196" t="s">
        <v>310</v>
      </c>
      <c r="C37" s="192"/>
      <c r="D37" s="192">
        <f>(SUMIF($I:$I,"主营业务利润",K:K)-SUMIF($I:$I,"主营业务利润",J:J))/SUMIF($I:$I,"主营业务利润",J:J)</f>
        <v>0.2501023373570358</v>
      </c>
      <c r="E37" s="192">
        <f>(SUMIF($I:$I,"主营业务利润",L:L)-SUMIF($I:$I,"主营业务利润",K:K))/SUMIF($I:$I,"主营业务利润",K:K)</f>
        <v>0.23990196229042654</v>
      </c>
      <c r="F37" s="192">
        <f>(SUMIF($I:$I,"主营业务利润",M:M)*12/F3-SUMIF($I:$I,"主营业务利润",L:L))/SUMIF($I:$I,"主营业务利润",L:L)</f>
        <v>-1</v>
      </c>
      <c r="G37" s="176"/>
      <c r="I37" s="214" t="s">
        <v>214</v>
      </c>
      <c r="J37" s="215">
        <f>IF(ISERROR(VLOOKUP($I37,利润表!$A:$F,3,0)),0,VLOOKUP($I37,利润表!$A:$F,3,0))</f>
        <v>861787.97</v>
      </c>
      <c r="K37" s="215">
        <f>IF(ISERROR(VLOOKUP($I37,利润表!$A:$F,4,0)),0,VLOOKUP($I37,利润表!$A:$F,4,0))</f>
        <v>536393.07999999996</v>
      </c>
      <c r="L37" s="215">
        <f>IF(ISERROR(VLOOKUP($I37,利润表!$A:$F,5,0)),0,VLOOKUP($I37,利润表!$A:$F,5,0))</f>
        <v>534591.64</v>
      </c>
      <c r="M37" s="216">
        <f>IF(ISERROR(VLOOKUP($I37,利润表!$A:$F,6,0)),0,VLOOKUP($I37,利润表!$A:$F,6,0))</f>
        <v>0</v>
      </c>
      <c r="N37" s="205"/>
      <c r="O37" s="206"/>
      <c r="P37" s="206"/>
      <c r="Q37" s="206"/>
      <c r="R37" s="206"/>
    </row>
    <row r="38" spans="1:18" x14ac:dyDescent="0.15">
      <c r="A38" s="181">
        <v>35</v>
      </c>
      <c r="B38" s="182" t="s">
        <v>97</v>
      </c>
      <c r="C38" s="192"/>
      <c r="D38" s="192">
        <f>(SUMIF($I:$I,"资产合计",K:K)-SUMIF($I:$I,"资产合计",J:J))/SUMIF($I:$I,"资产合计",J:J)</f>
        <v>0.23478233395307593</v>
      </c>
      <c r="E38" s="192">
        <f>(SUMIF($I:$I,"资产合计",L:L)-SUMIF($I:$I,"资产合计",K:K))/SUMIF($I:$I,"资产合计",K:K)</f>
        <v>0.14362243521018228</v>
      </c>
      <c r="F38" s="192">
        <f>(SUMIF($I:$I,"资产合计",M:M)-SUMIF($I:$I,"资产合计",L:L))/SUMIF($I:$I,"资产合计",L:L)</f>
        <v>-1</v>
      </c>
      <c r="G38" s="176"/>
      <c r="I38" s="214" t="s">
        <v>215</v>
      </c>
      <c r="J38" s="215">
        <f>IF(ISERROR(VLOOKUP($I38,利润表!$A:$F,3,0)),0,VLOOKUP($I38,利润表!$A:$F,3,0))</f>
        <v>15948.72</v>
      </c>
      <c r="K38" s="215">
        <f>IF(ISERROR(VLOOKUP($I38,利润表!$A:$F,4,0)),0,VLOOKUP($I38,利润表!$A:$F,4,0))</f>
        <v>0</v>
      </c>
      <c r="L38" s="215">
        <f>IF(ISERROR(VLOOKUP($I38,利润表!$A:$F,5,0)),0,VLOOKUP($I38,利润表!$A:$F,5,0))</f>
        <v>303760.68</v>
      </c>
      <c r="M38" s="216">
        <f>IF(ISERROR(VLOOKUP($I38,利润表!$A:$F,6,0)),0,VLOOKUP($I38,利润表!$A:$F,6,0))</f>
        <v>0</v>
      </c>
      <c r="N38" s="205"/>
      <c r="O38" s="206"/>
      <c r="P38" s="206"/>
      <c r="Q38" s="206"/>
      <c r="R38" s="206"/>
    </row>
    <row r="39" spans="1:18" x14ac:dyDescent="0.15">
      <c r="A39" s="173">
        <v>36</v>
      </c>
      <c r="B39" s="197" t="s">
        <v>331</v>
      </c>
      <c r="C39" s="194"/>
      <c r="D39" s="194"/>
      <c r="E39" s="198"/>
      <c r="F39" s="194">
        <f>POWER((财务指标!E19/财务指标!C19)-1,3)</f>
        <v>-1.2738237325042057E-2</v>
      </c>
      <c r="G39" s="176" t="s">
        <v>550</v>
      </c>
      <c r="I39" s="214" t="s">
        <v>268</v>
      </c>
      <c r="J39" s="215">
        <f>IF(ISERROR(VLOOKUP($I39,利润表!$A:$F,3,0)),0,VLOOKUP($I39,利润表!$A:$F,3,0))</f>
        <v>4025582.84</v>
      </c>
      <c r="K39" s="215">
        <f>IF(ISERROR(VLOOKUP($I39,利润表!$A:$F,4,0)),0,VLOOKUP($I39,利润表!$A:$F,4,0))</f>
        <v>6270113.7800000003</v>
      </c>
      <c r="L39" s="215">
        <f>IF(ISERROR(VLOOKUP($I39,利润表!$A:$F,5,0)),0,VLOOKUP($I39,利润表!$A:$F,5,0))</f>
        <v>9318462.7699999996</v>
      </c>
      <c r="M39" s="216">
        <f>IF(ISERROR(VLOOKUP($I39,利润表!$A:$F,6,0)),0,VLOOKUP($I39,利润表!$A:$F,6,0))</f>
        <v>0</v>
      </c>
    </row>
    <row r="40" spans="1:18" x14ac:dyDescent="0.15">
      <c r="A40" s="173">
        <v>37</v>
      </c>
      <c r="B40" s="177"/>
      <c r="C40" s="178"/>
      <c r="D40" s="178"/>
      <c r="E40" s="179"/>
      <c r="F40" s="178"/>
      <c r="G40" s="176"/>
      <c r="I40" s="214" t="s">
        <v>269</v>
      </c>
      <c r="J40" s="215">
        <f>IF(ISERROR(VLOOKUP($I40,利润表!$A:$F,3,0)),0,VLOOKUP($I40,利润表!$A:$F,3,0))</f>
        <v>3429785.58</v>
      </c>
      <c r="K40" s="215">
        <f>IF(ISERROR(VLOOKUP($I40,利润表!$A:$F,4,0)),0,VLOOKUP($I40,利润表!$A:$F,4,0))</f>
        <v>3652657.26</v>
      </c>
      <c r="L40" s="215">
        <f>IF(ISERROR(VLOOKUP($I40,利润表!$A:$F,5,0)),0,VLOOKUP($I40,利润表!$A:$F,5,0))</f>
        <v>6062627.8200000003</v>
      </c>
      <c r="M40" s="216">
        <f>IF(ISERROR(VLOOKUP($I40,利润表!$A:$F,6,0)),0,VLOOKUP($I40,利润表!$A:$F,6,0))</f>
        <v>0</v>
      </c>
    </row>
    <row r="41" spans="1:18" x14ac:dyDescent="0.15">
      <c r="A41" s="173">
        <v>38</v>
      </c>
      <c r="B41" s="177" t="s">
        <v>78</v>
      </c>
      <c r="C41" s="178"/>
      <c r="D41" s="178"/>
      <c r="E41" s="179"/>
      <c r="F41" s="178"/>
      <c r="G41" s="176"/>
      <c r="I41" s="214" t="s">
        <v>187</v>
      </c>
      <c r="J41" s="215">
        <f>IF(ISERROR(VLOOKUP($I41,利润表!$A:$F,3,0)),0,VLOOKUP($I41,利润表!$A:$F,3,0))</f>
        <v>1194803.45</v>
      </c>
      <c r="K41" s="215">
        <f>IF(ISERROR(VLOOKUP($I41,利润表!$A:$F,4,0)),0,VLOOKUP($I41,利润表!$A:$F,4,0))</f>
        <v>2646689.86</v>
      </c>
      <c r="L41" s="215">
        <f>IF(ISERROR(VLOOKUP($I41,利润表!$A:$F,5,0)),0,VLOOKUP($I41,利润表!$A:$F,5,0))</f>
        <v>4871071.42</v>
      </c>
      <c r="M41" s="216">
        <f>IF(ISERROR(VLOOKUP($I41,利润表!$A:$F,6,0)),0,VLOOKUP($I41,利润表!$A:$F,6,0))</f>
        <v>0</v>
      </c>
    </row>
    <row r="42" spans="1:18" x14ac:dyDescent="0.15">
      <c r="A42" s="173">
        <v>39</v>
      </c>
      <c r="B42" s="177" t="s">
        <v>79</v>
      </c>
      <c r="C42" s="189"/>
      <c r="D42" s="189"/>
      <c r="E42" s="195"/>
      <c r="F42" s="189"/>
      <c r="G42" s="176"/>
      <c r="I42" s="214" t="s">
        <v>191</v>
      </c>
      <c r="J42" s="215">
        <f>IF(ISERROR(VLOOKUP($I42,利润表!$A:$F,3,0)),0,VLOOKUP($I42,利润表!$A:$F,3,0))</f>
        <v>12409265.390000021</v>
      </c>
      <c r="K42" s="215">
        <f>IF(ISERROR(VLOOKUP($I42,利润表!$A:$F,4,0)),0,VLOOKUP($I42,利润表!$A:$F,4,0))</f>
        <v>13737053.310000025</v>
      </c>
      <c r="L42" s="215">
        <f>IF(ISERROR(VLOOKUP($I42,利润表!$A:$F,5,0)),0,VLOOKUP($I42,利润表!$A:$F,5,0))</f>
        <v>12669097.260000018</v>
      </c>
      <c r="M42" s="216">
        <f>IF(ISERROR(VLOOKUP($I42,利润表!$A:$F,6,0)),0,VLOOKUP($I42,利润表!$A:$F,6,0))</f>
        <v>0</v>
      </c>
    </row>
    <row r="43" spans="1:18" x14ac:dyDescent="0.15">
      <c r="A43" s="173">
        <v>40</v>
      </c>
      <c r="B43" s="177"/>
      <c r="C43" s="194">
        <f>IF(ISERROR(现金流量表!C7/现金流量表!C12),0,现金流量表!C7/现金流量表!C12)</f>
        <v>1.0181018485896742</v>
      </c>
      <c r="D43" s="194">
        <f>现金流量表!D7/现金流量表!D12</f>
        <v>1.0176953565810478</v>
      </c>
      <c r="E43" s="194">
        <f>现金流量表!E7/现金流量表!E12</f>
        <v>1.0195733555653004</v>
      </c>
      <c r="F43" s="194">
        <f>IF(ISERROR(现金流量表!F7/现金流量表!F12),0,现金流量表!F7/现金流量表!F12)</f>
        <v>0</v>
      </c>
      <c r="G43" s="199" t="s">
        <v>80</v>
      </c>
      <c r="I43" s="214" t="s">
        <v>186</v>
      </c>
      <c r="J43" s="215">
        <f>IF(ISERROR(VLOOKUP($I43,利润表!$A:$F,3,0)),0,VLOOKUP($I43,利润表!$A:$F,3,0))</f>
        <v>12408365.390000021</v>
      </c>
      <c r="K43" s="215">
        <f>IF(ISERROR(VLOOKUP($I43,利润表!$A:$F,4,0)),0,VLOOKUP($I43,利润表!$A:$F,4,0))</f>
        <v>13726163.310000025</v>
      </c>
      <c r="L43" s="215">
        <f>IF(ISERROR(VLOOKUP($I43,利润表!$A:$F,5,0)),0,VLOOKUP($I43,利润表!$A:$F,5,0))</f>
        <v>12658555.830000019</v>
      </c>
      <c r="M43" s="216">
        <f>IF(ISERROR(VLOOKUP($I43,利润表!$A:$F,6,0)),0,VLOOKUP($I43,利润表!$A:$F,6,0))</f>
        <v>0</v>
      </c>
    </row>
    <row r="44" spans="1:18" x14ac:dyDescent="0.15">
      <c r="A44" s="173">
        <v>41</v>
      </c>
      <c r="B44" s="177"/>
      <c r="C44" s="194">
        <f>IF(ISERROR(现金流量表!C8/现金流量表!C13),0,现金流量表!C8/现金流量表!C13)</f>
        <v>40.936857452160048</v>
      </c>
      <c r="D44" s="194">
        <f>现金流量表!D20/现金流量表!D24</f>
        <v>1.050941972786924</v>
      </c>
      <c r="E44" s="194">
        <f>现金流量表!E20/现金流量表!E24</f>
        <v>1.0006007038691596</v>
      </c>
      <c r="F44" s="194">
        <f>IF(ISERROR(现金流量表!F8/现金流量表!F13),0,现金流量表!F8/现金流量表!F13)</f>
        <v>0</v>
      </c>
      <c r="G44" s="199" t="s">
        <v>81</v>
      </c>
      <c r="I44" s="214" t="s">
        <v>181</v>
      </c>
      <c r="J44" s="215">
        <f>IF(ISERROR(VLOOKUP($I44,利润表!$A:$F,3,0)),0,VLOOKUP($I44,利润表!$A:$F,3,0))</f>
        <v>9306274.0400000215</v>
      </c>
      <c r="K44" s="215">
        <f>IF(ISERROR(VLOOKUP($I44,利润表!$A:$F,4,0)),0,VLOOKUP($I44,利润表!$A:$F,4,0))</f>
        <v>10294617.970000025</v>
      </c>
      <c r="L44" s="215">
        <f>IF(ISERROR(VLOOKUP($I44,利润表!$A:$F,5,0)),0,VLOOKUP($I44,利润表!$A:$F,5,0))</f>
        <v>9493916.8700000197</v>
      </c>
      <c r="M44" s="216">
        <f>IF(ISERROR(VLOOKUP($I44,利润表!$A:$F,6,0)),0,VLOOKUP($I44,利润表!$A:$F,6,0))</f>
        <v>0</v>
      </c>
    </row>
    <row r="45" spans="1:18" x14ac:dyDescent="0.15">
      <c r="A45" s="173">
        <v>42</v>
      </c>
      <c r="B45" s="177"/>
      <c r="C45" s="194">
        <f>IF(ISERROR(现金流量表!C9/现金流量表!C14),0,现金流量表!C9/现金流量表!C14)</f>
        <v>0</v>
      </c>
      <c r="D45" s="194">
        <f>现金流量表!D30/现金流量表!D37</f>
        <v>1.5114254273312639</v>
      </c>
      <c r="E45" s="194">
        <f>现金流量表!E30/现金流量表!E37</f>
        <v>1.0025778961958369</v>
      </c>
      <c r="F45" s="194">
        <f>IF(ISERROR(现金流量表!F9/现金流量表!F14),0,现金流量表!F9/现金流量表!F14)</f>
        <v>0</v>
      </c>
      <c r="G45" s="199" t="s">
        <v>82</v>
      </c>
      <c r="I45" s="214"/>
      <c r="J45" s="215"/>
      <c r="K45" s="215"/>
      <c r="L45" s="215"/>
      <c r="M45" s="216"/>
    </row>
    <row r="46" spans="1:18" x14ac:dyDescent="0.15">
      <c r="A46" s="173">
        <v>43</v>
      </c>
      <c r="B46" s="177" t="s">
        <v>83</v>
      </c>
      <c r="C46" s="189"/>
      <c r="D46" s="189"/>
      <c r="E46" s="195"/>
      <c r="F46" s="189"/>
      <c r="G46" s="176"/>
      <c r="I46" s="214" t="s">
        <v>29</v>
      </c>
      <c r="J46" s="215">
        <f>VLOOKUP($I46,现金流量表!$A:$F,3,0)</f>
        <v>3792798.3299999833</v>
      </c>
      <c r="K46" s="215">
        <f>VLOOKUP($I46,现金流量表!$A:$F,4,0)</f>
        <v>3844973.1600000262</v>
      </c>
      <c r="L46" s="215">
        <f>VLOOKUP($I46,现金流量表!$A:$F,5,0)</f>
        <v>4520427.7199999988</v>
      </c>
      <c r="M46" s="216">
        <f>VLOOKUP($I46,现金流量表!$A:$F,6,0)</f>
        <v>0</v>
      </c>
    </row>
    <row r="47" spans="1:18" x14ac:dyDescent="0.15">
      <c r="A47" s="173">
        <v>44</v>
      </c>
      <c r="B47" s="177"/>
      <c r="C47" s="189">
        <f>现金流量表!C13/资产负债表!C64</f>
        <v>3.4440071786921447E-2</v>
      </c>
      <c r="D47" s="189">
        <f>现金流量表!D13/资产负债表!D64</f>
        <v>3.2260634223023339E-2</v>
      </c>
      <c r="E47" s="189">
        <f>现金流量表!E13/资产负债表!E64</f>
        <v>3.224951019938814E-2</v>
      </c>
      <c r="F47" s="189" t="e">
        <f>现金流量表!F13/资产负债表!F64</f>
        <v>#DIV/0!</v>
      </c>
      <c r="G47" s="199" t="s">
        <v>84</v>
      </c>
      <c r="I47" s="214" t="s">
        <v>216</v>
      </c>
      <c r="J47" s="215">
        <f>VLOOKUP($I47,现金流量表!$A:$F,3,0)</f>
        <v>-31574008.259999998</v>
      </c>
      <c r="K47" s="215">
        <f>VLOOKUP($I47,现金流量表!$A:$F,4,0)</f>
        <v>3025179.8900000006</v>
      </c>
      <c r="L47" s="215">
        <f>VLOOKUP($I47,现金流量表!$A:$F,5,0)</f>
        <v>12523.160000000149</v>
      </c>
      <c r="M47" s="216">
        <f>VLOOKUP($I47,现金流量表!$A:$F,6,0)</f>
        <v>0</v>
      </c>
    </row>
    <row r="48" spans="1:18" x14ac:dyDescent="0.15">
      <c r="A48" s="173">
        <v>45</v>
      </c>
      <c r="B48" s="177"/>
      <c r="C48" s="189">
        <f>现金流量表!C13/资产负债表!C75</f>
        <v>3.4440071786921447E-2</v>
      </c>
      <c r="D48" s="189">
        <f>现金流量表!D13/资产负债表!D75</f>
        <v>3.2260634223023339E-2</v>
      </c>
      <c r="E48" s="189">
        <f>现金流量表!E13/资产负债表!E75</f>
        <v>3.224951019938814E-2</v>
      </c>
      <c r="F48" s="189" t="e">
        <f>现金流量表!F13/资产负债表!F75</f>
        <v>#DIV/0!</v>
      </c>
      <c r="G48" s="199" t="s">
        <v>92</v>
      </c>
      <c r="I48" s="214" t="s">
        <v>38</v>
      </c>
      <c r="J48" s="215">
        <f>VLOOKUP($I48,现金流量表!$A:$F,3,0)</f>
        <v>28922489.030000001</v>
      </c>
      <c r="K48" s="215">
        <f>VLOOKUP($I48,现金流量表!$A:$F,4,0)</f>
        <v>1364167.9099999997</v>
      </c>
      <c r="L48" s="215">
        <f>VLOOKUP($I48,现金流量表!$A:$F,5,0)</f>
        <v>128928.58000000566</v>
      </c>
      <c r="M48" s="216">
        <f>VLOOKUP($I48,现金流量表!$A:$F,6,0)</f>
        <v>0</v>
      </c>
    </row>
    <row r="49" spans="1:13" x14ac:dyDescent="0.15">
      <c r="A49" s="173">
        <v>46</v>
      </c>
      <c r="B49" s="177" t="s">
        <v>85</v>
      </c>
      <c r="C49" s="189"/>
      <c r="D49" s="189"/>
      <c r="E49" s="195"/>
      <c r="F49" s="189"/>
      <c r="G49" s="176"/>
      <c r="I49" s="214"/>
      <c r="J49" s="215"/>
      <c r="K49" s="215"/>
      <c r="L49" s="215"/>
      <c r="M49" s="216"/>
    </row>
    <row r="50" spans="1:13" x14ac:dyDescent="0.15">
      <c r="A50" s="173">
        <v>47</v>
      </c>
      <c r="B50" s="177"/>
      <c r="C50" s="194">
        <f>现金流量表!C13/利润表!C4</f>
        <v>2.0013805024111913E-2</v>
      </c>
      <c r="D50" s="194">
        <f>现金流量表!D13/利润表!D4</f>
        <v>2.0040455738268279E-2</v>
      </c>
      <c r="E50" s="194">
        <f>现金流量表!E13/利润表!E4</f>
        <v>2.3975075801510155E-2</v>
      </c>
      <c r="F50" s="194" t="e">
        <f>现金流量表!F13/利润表!F4</f>
        <v>#DIV/0!</v>
      </c>
      <c r="G50" s="200" t="s">
        <v>93</v>
      </c>
      <c r="I50" s="214" t="s">
        <v>199</v>
      </c>
      <c r="J50" s="215">
        <f>J35-J36-J37</f>
        <v>21043488.540000021</v>
      </c>
      <c r="K50" s="215">
        <f>K35-K36-K37</f>
        <v>26306514.210000023</v>
      </c>
      <c r="L50" s="215">
        <f>L35-L36-L37</f>
        <v>32617498.590000018</v>
      </c>
      <c r="M50" s="216">
        <f>M35-M36-M37</f>
        <v>0</v>
      </c>
    </row>
    <row r="51" spans="1:13" x14ac:dyDescent="0.15">
      <c r="A51" s="173">
        <v>48</v>
      </c>
      <c r="B51" s="177"/>
      <c r="C51" s="194">
        <f>现金流量表!C13/资产负债表!C46</f>
        <v>2.2067957245780444E-2</v>
      </c>
      <c r="D51" s="194">
        <f>现金流量表!D13/资产负债表!D46</f>
        <v>1.8117792770799796E-2</v>
      </c>
      <c r="E51" s="194">
        <f>现金流量表!E13/资产负债表!E46</f>
        <v>1.8625538513889258E-2</v>
      </c>
      <c r="F51" s="194" t="e">
        <f>现金流量表!F13/资产负债表!F46</f>
        <v>#DIV/0!</v>
      </c>
      <c r="G51" s="199" t="s">
        <v>94</v>
      </c>
      <c r="I51" s="214" t="s">
        <v>217</v>
      </c>
      <c r="J51" s="215">
        <f>J33</f>
        <v>61741546.18</v>
      </c>
      <c r="K51" s="215">
        <f>K33</f>
        <v>93036164.150000006</v>
      </c>
      <c r="L51" s="215">
        <f>L33</f>
        <v>102530081.02000001</v>
      </c>
      <c r="M51" s="216">
        <f>M33</f>
        <v>0</v>
      </c>
    </row>
    <row r="52" spans="1:13" x14ac:dyDescent="0.15">
      <c r="A52" s="173">
        <v>49</v>
      </c>
      <c r="B52" s="201" t="s">
        <v>332</v>
      </c>
      <c r="F52" s="178"/>
      <c r="G52" s="176"/>
      <c r="I52" s="214" t="s">
        <v>218</v>
      </c>
      <c r="J52" s="215">
        <f>J51</f>
        <v>61741546.18</v>
      </c>
      <c r="K52" s="215">
        <f>IF(J51=0,K51,(J51+K51)/2)</f>
        <v>77388855.165000007</v>
      </c>
      <c r="L52" s="215">
        <f>IF(K51=0,L51,(K51+L51)/2)</f>
        <v>97783122.585000008</v>
      </c>
      <c r="M52" s="216">
        <f>IF(L51=0,M51,(L51+M51)/2)</f>
        <v>51265040.510000005</v>
      </c>
    </row>
    <row r="53" spans="1:13" x14ac:dyDescent="0.15">
      <c r="A53" s="173">
        <v>50</v>
      </c>
      <c r="B53" s="177"/>
      <c r="C53" s="203"/>
      <c r="D53" s="203">
        <f>资产负债表!D75/(利润表!D16+资产负债表!D28-资产负债表!C28+利润表!D12)</f>
        <v>5.5324355058167871</v>
      </c>
      <c r="E53" s="203">
        <f>资产负债表!E75/(利润表!E16+资产负债表!E28-资产负债表!D28+利润表!E12)</f>
        <v>5.9693824372955619</v>
      </c>
      <c r="F53" s="203">
        <f>资产负债表!F75/(利润表!F16+资产负债表!F28-资产负债表!E28+利润表!F12)</f>
        <v>0</v>
      </c>
      <c r="G53" s="176" t="s">
        <v>41</v>
      </c>
      <c r="I53" s="214" t="s">
        <v>219</v>
      </c>
      <c r="J53" s="215">
        <f>J16</f>
        <v>171869026.56</v>
      </c>
      <c r="K53" s="215">
        <f>IF(J16=0,K16,(J16+K16)/2)</f>
        <v>192044932.155</v>
      </c>
      <c r="L53" s="215">
        <f>IF(K16=0,L16,(K16+L16)/2)</f>
        <v>227460674.50999999</v>
      </c>
      <c r="M53" s="216">
        <f>IF(L16=0,M16,(L16+M16)/2)</f>
        <v>121350255.63499999</v>
      </c>
    </row>
    <row r="54" spans="1:13" x14ac:dyDescent="0.15">
      <c r="I54" s="214" t="s">
        <v>305</v>
      </c>
      <c r="J54" s="215">
        <f>J8</f>
        <v>5199537.5199999996</v>
      </c>
      <c r="K54" s="215">
        <f>IF(J8=0,K8,(J8+K8)/2)</f>
        <v>5888448.4450000003</v>
      </c>
      <c r="L54" s="215">
        <f>IF(K8=0,L8,(K8+L8)/2)</f>
        <v>11878872.725</v>
      </c>
      <c r="M54" s="216">
        <f>IF(L8=0,M8,(L8+M8)/2)</f>
        <v>8590193.0399999991</v>
      </c>
    </row>
    <row r="55" spans="1:13" x14ac:dyDescent="0.15">
      <c r="I55" s="214" t="s">
        <v>304</v>
      </c>
      <c r="J55" s="215">
        <f>J6</f>
        <v>30512485.559999999</v>
      </c>
      <c r="K55" s="215">
        <f>IF(J6=0,K6,(J6+K6)/2)</f>
        <v>34185637.390000001</v>
      </c>
      <c r="L55" s="215">
        <f>IF(K6=0,L6,(K6+L6)/2)</f>
        <v>34688802.295000002</v>
      </c>
      <c r="M55" s="216">
        <f>IF(L6=0,M6,(L6+M6)/2)</f>
        <v>15759407.685000001</v>
      </c>
    </row>
    <row r="56" spans="1:13" x14ac:dyDescent="0.15">
      <c r="I56" s="214" t="s">
        <v>298</v>
      </c>
      <c r="J56" s="215">
        <f>J19</f>
        <v>77173936.140000001</v>
      </c>
      <c r="K56" s="215">
        <f>IF(J19=0,K19,(J19+K19)/2)</f>
        <v>43716316.469999999</v>
      </c>
      <c r="L56" s="215">
        <f>IF(K19=0,L19,(K19+L19)/2)</f>
        <v>20051259.045000002</v>
      </c>
      <c r="M56" s="216">
        <f>IF(L19=0,M19,(L19+M19)/2)</f>
        <v>14921910.645</v>
      </c>
    </row>
    <row r="57" spans="1:13" x14ac:dyDescent="0.15">
      <c r="I57" s="214" t="s">
        <v>300</v>
      </c>
      <c r="J57" s="218">
        <f>J9-J8</f>
        <v>113843513.89999999</v>
      </c>
      <c r="K57" s="218">
        <f>K9-K8</f>
        <v>150523005.38</v>
      </c>
      <c r="L57" s="218">
        <f>L9-L8</f>
        <v>125745743.36999999</v>
      </c>
      <c r="M57" s="219">
        <f>M9-M8</f>
        <v>0</v>
      </c>
    </row>
    <row r="58" spans="1:13" x14ac:dyDescent="0.15">
      <c r="I58" s="214" t="s">
        <v>302</v>
      </c>
      <c r="J58" s="218">
        <f>J12</f>
        <v>52275975.140000001</v>
      </c>
      <c r="K58" s="215">
        <f>IF(J12=0,K12,(J12+K12)/2)</f>
        <v>53423224.07</v>
      </c>
      <c r="L58" s="215">
        <f>IF(K12=0,L12,(K12+L12)/2)</f>
        <v>76897427.409999996</v>
      </c>
      <c r="M58" s="216">
        <f>IF(L12=0,M12,(L12+M12)/2)</f>
        <v>49612190.909999996</v>
      </c>
    </row>
    <row r="59" spans="1:13" ht="12.75" thickBot="1" x14ac:dyDescent="0.2">
      <c r="I59" s="220" t="s">
        <v>303</v>
      </c>
      <c r="J59" s="221">
        <f>J9</f>
        <v>119043051.41999999</v>
      </c>
      <c r="K59" s="221">
        <f>IF(J9=0,K9,(J9+K9)/2)</f>
        <v>138071708.08499998</v>
      </c>
      <c r="L59" s="221">
        <f>IF(K9=0,L9,(K9+L9)/2)</f>
        <v>150013247.09999999</v>
      </c>
      <c r="M59" s="222">
        <f>IF(L9=0,M9,(L9+M9)/2)</f>
        <v>71463064.724999994</v>
      </c>
    </row>
  </sheetData>
  <mergeCells count="2">
    <mergeCell ref="B1:E1"/>
    <mergeCell ref="I1:M1"/>
  </mergeCells>
  <phoneticPr fontId="1" type="noConversion"/>
  <dataValidations count="2">
    <dataValidation type="list" allowBlank="1" showErrorMessage="1" sqref="J2:L2">
      <formula1>"2005,2006,2007,2008,2009,2010,2011,2012"</formula1>
    </dataValidation>
    <dataValidation type="list" allowBlank="1" showInputMessage="1" showErrorMessage="1" sqref="M2">
      <formula1>"Jan-2009,Feb-2009,Mar-2009,Apr-2009,May-2009,Jun-2009,Jul-2009,Aug-2009,Sep-2009,Oct-2009,Nov-2009,Dec-2009"</formula1>
    </dataValidation>
  </dataValidations>
  <printOptions horizontalCentered="1" verticalCentered="1"/>
  <pageMargins left="0" right="0" top="0.59055118110236227" bottom="0.59055118110236227" header="0.51181102362204722" footer="0.51181102362204722"/>
  <pageSetup paperSize="9" scale="86" firstPageNumber="4294949420" orientation="landscape" useFirstPageNumber="1" horizontalDpi="18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/>
  </sheetPr>
  <dimension ref="A1:M90"/>
  <sheetViews>
    <sheetView showOutlineSymbols="0" zoomScale="110" zoomScaleNormal="110" zoomScaleSheetLayoutView="100" workbookViewId="0">
      <pane ySplit="3" topLeftCell="A4" activePane="bottomLeft" state="frozen"/>
      <selection pane="bottomLeft" activeCell="A29" sqref="A29"/>
    </sheetView>
  </sheetViews>
  <sheetFormatPr defaultRowHeight="12.75" x14ac:dyDescent="0.2"/>
  <cols>
    <col min="1" max="1" width="30.25" style="15" bestFit="1" customWidth="1"/>
    <col min="2" max="2" width="5.25" style="12" bestFit="1" customWidth="1"/>
    <col min="3" max="3" width="17.125" style="11" customWidth="1"/>
    <col min="4" max="5" width="16.75" style="11" bestFit="1" customWidth="1"/>
    <col min="6" max="6" width="16.875" style="11" customWidth="1"/>
    <col min="7" max="7" width="9.125" style="12" customWidth="1"/>
    <col min="8" max="8" width="13" style="12" hidden="1" customWidth="1"/>
    <col min="9" max="9" width="13.875" style="12" bestFit="1" customWidth="1"/>
    <col min="10" max="10" width="18.375" style="12" bestFit="1" customWidth="1"/>
    <col min="11" max="11" width="14.375" style="11" hidden="1" customWidth="1"/>
    <col min="12" max="16384" width="9" style="10"/>
  </cols>
  <sheetData>
    <row r="1" spans="1:13" s="28" customFormat="1" ht="27" customHeight="1" x14ac:dyDescent="0.3">
      <c r="A1" s="287" t="s">
        <v>48</v>
      </c>
      <c r="B1" s="288"/>
      <c r="C1" s="288"/>
      <c r="D1" s="288"/>
      <c r="E1" s="288"/>
      <c r="F1" s="288"/>
      <c r="G1" s="27"/>
      <c r="H1" s="27"/>
      <c r="I1" s="27"/>
      <c r="J1" s="27"/>
    </row>
    <row r="2" spans="1:13" x14ac:dyDescent="0.2">
      <c r="A2" s="85" t="s">
        <v>312</v>
      </c>
      <c r="B2" s="291" t="e">
        <f>#REF!</f>
        <v>#REF!</v>
      </c>
      <c r="C2" s="291"/>
      <c r="D2" s="291"/>
      <c r="E2" s="291"/>
      <c r="F2" s="164"/>
      <c r="I2" s="289"/>
      <c r="J2" s="289"/>
      <c r="K2" s="6" t="s">
        <v>161</v>
      </c>
    </row>
    <row r="3" spans="1:13" s="14" customFormat="1" ht="18.75" x14ac:dyDescent="0.15">
      <c r="A3" s="83" t="s">
        <v>0</v>
      </c>
      <c r="B3" s="2" t="s">
        <v>1</v>
      </c>
      <c r="C3" s="82">
        <v>40178</v>
      </c>
      <c r="D3" s="82">
        <v>40543</v>
      </c>
      <c r="E3" s="82">
        <v>40908</v>
      </c>
      <c r="F3" s="82">
        <v>41274</v>
      </c>
      <c r="G3" s="13"/>
      <c r="H3" s="80">
        <v>40634</v>
      </c>
      <c r="K3" s="80">
        <v>40664</v>
      </c>
    </row>
    <row r="4" spans="1:13" x14ac:dyDescent="0.2">
      <c r="A4" s="3" t="s">
        <v>3</v>
      </c>
      <c r="B4" s="4">
        <v>1</v>
      </c>
      <c r="C4" s="86"/>
      <c r="D4" s="73"/>
      <c r="E4" s="73"/>
      <c r="F4" s="79">
        <f>MONTH(F3)</f>
        <v>12</v>
      </c>
      <c r="G4" s="16"/>
      <c r="H4" s="79">
        <f>MONTH(H3)</f>
        <v>4</v>
      </c>
      <c r="I4" s="17"/>
      <c r="J4" s="18"/>
      <c r="K4" s="79">
        <v>5</v>
      </c>
    </row>
    <row r="5" spans="1:13" x14ac:dyDescent="0.2">
      <c r="A5" s="3" t="s">
        <v>192</v>
      </c>
      <c r="B5" s="4">
        <v>2</v>
      </c>
      <c r="C5" s="112">
        <v>4121126.14</v>
      </c>
      <c r="D5" s="112">
        <v>12355447.1</v>
      </c>
      <c r="E5" s="112">
        <v>17017326.559999999</v>
      </c>
      <c r="F5" s="121"/>
      <c r="G5" s="20"/>
      <c r="H5" s="112">
        <v>284811134.56</v>
      </c>
      <c r="I5" s="17"/>
      <c r="J5" s="21"/>
      <c r="K5" s="121">
        <v>681564792.50999999</v>
      </c>
    </row>
    <row r="6" spans="1:13" x14ac:dyDescent="0.2">
      <c r="A6" s="3" t="s">
        <v>220</v>
      </c>
      <c r="B6" s="4">
        <v>3</v>
      </c>
      <c r="C6" s="112"/>
      <c r="D6" s="112"/>
      <c r="E6" s="112"/>
      <c r="F6" s="100">
        <v>999999</v>
      </c>
      <c r="G6" s="20"/>
      <c r="H6" s="100"/>
      <c r="I6" s="17"/>
      <c r="J6" s="21"/>
      <c r="K6" s="100"/>
    </row>
    <row r="7" spans="1:13" x14ac:dyDescent="0.2">
      <c r="A7" s="3" t="s">
        <v>210</v>
      </c>
      <c r="B7" s="4">
        <v>4</v>
      </c>
      <c r="C7" s="112"/>
      <c r="D7" s="112"/>
      <c r="E7" s="112"/>
      <c r="F7" s="100"/>
      <c r="G7" s="20"/>
      <c r="H7" s="100">
        <v>2000000</v>
      </c>
      <c r="I7" s="17"/>
      <c r="J7" s="21"/>
      <c r="K7" s="100"/>
    </row>
    <row r="8" spans="1:13" x14ac:dyDescent="0.2">
      <c r="A8" s="3" t="s">
        <v>221</v>
      </c>
      <c r="B8" s="4">
        <v>5</v>
      </c>
      <c r="C8" s="112">
        <v>5278030.7300000004</v>
      </c>
      <c r="D8" s="112">
        <v>1324779.46</v>
      </c>
      <c r="E8" s="112">
        <v>3364907.59</v>
      </c>
      <c r="F8" s="112"/>
      <c r="G8" s="20"/>
      <c r="H8" s="112">
        <v>1672994.8</v>
      </c>
      <c r="I8" s="17"/>
      <c r="J8" s="21"/>
      <c r="K8" s="121">
        <v>36500000</v>
      </c>
    </row>
    <row r="9" spans="1:13" x14ac:dyDescent="0.2">
      <c r="A9" s="3" t="s">
        <v>222</v>
      </c>
      <c r="B9" s="4">
        <v>6</v>
      </c>
      <c r="C9" s="112"/>
      <c r="D9" s="112"/>
      <c r="E9" s="112"/>
      <c r="F9" s="100"/>
      <c r="G9" s="20"/>
      <c r="H9" s="100"/>
      <c r="I9" s="10"/>
      <c r="J9" s="10"/>
      <c r="K9" s="100"/>
    </row>
    <row r="10" spans="1:13" x14ac:dyDescent="0.2">
      <c r="A10" s="3" t="s">
        <v>223</v>
      </c>
      <c r="B10" s="4">
        <v>7</v>
      </c>
      <c r="C10" s="112"/>
      <c r="D10" s="112"/>
      <c r="E10" s="112"/>
      <c r="F10" s="100"/>
      <c r="G10" s="20"/>
      <c r="H10" s="100"/>
      <c r="I10" s="22"/>
      <c r="J10" s="22"/>
      <c r="K10" s="100"/>
      <c r="L10" s="22"/>
      <c r="M10" s="22"/>
    </row>
    <row r="11" spans="1:13" x14ac:dyDescent="0.2">
      <c r="A11" s="88" t="s">
        <v>193</v>
      </c>
      <c r="B11" s="4">
        <v>8</v>
      </c>
      <c r="C11" s="112">
        <v>30512485.559999999</v>
      </c>
      <c r="D11" s="112">
        <v>37858789.219999999</v>
      </c>
      <c r="E11" s="112">
        <v>31518815.370000001</v>
      </c>
      <c r="F11" s="100"/>
      <c r="G11" s="20"/>
      <c r="H11" s="112">
        <v>13950120</v>
      </c>
      <c r="I11" s="23"/>
      <c r="J11" s="22"/>
      <c r="K11" s="100"/>
      <c r="L11" s="22"/>
      <c r="M11" s="24"/>
    </row>
    <row r="12" spans="1:13" x14ac:dyDescent="0.2">
      <c r="A12" s="3" t="s">
        <v>224</v>
      </c>
      <c r="B12" s="4">
        <v>9</v>
      </c>
      <c r="C12" s="112">
        <v>15261871.470000001</v>
      </c>
      <c r="D12" s="112">
        <v>413989.6</v>
      </c>
      <c r="E12" s="112">
        <v>274693.84999999998</v>
      </c>
      <c r="F12" s="135"/>
      <c r="G12" s="20"/>
      <c r="H12" s="112">
        <v>46009214.780000001</v>
      </c>
      <c r="I12" s="23"/>
      <c r="J12" s="22"/>
      <c r="K12" s="121">
        <v>514865.55</v>
      </c>
      <c r="L12" s="22"/>
      <c r="M12" s="24"/>
    </row>
    <row r="13" spans="1:13" x14ac:dyDescent="0.2">
      <c r="A13" s="3" t="s">
        <v>225</v>
      </c>
      <c r="B13" s="4">
        <v>10</v>
      </c>
      <c r="C13" s="112">
        <v>58670000</v>
      </c>
      <c r="D13" s="112">
        <v>98570000</v>
      </c>
      <c r="E13" s="112">
        <v>73570000</v>
      </c>
      <c r="F13" s="121"/>
      <c r="G13" s="20"/>
      <c r="H13" s="112">
        <v>269795258.45999998</v>
      </c>
      <c r="I13" s="23"/>
      <c r="J13" s="22"/>
      <c r="K13" s="121">
        <v>289764953.08999997</v>
      </c>
      <c r="L13" s="22"/>
      <c r="M13" s="24"/>
    </row>
    <row r="14" spans="1:13" x14ac:dyDescent="0.2">
      <c r="A14" s="3" t="s">
        <v>226</v>
      </c>
      <c r="B14" s="4">
        <v>11</v>
      </c>
      <c r="C14" s="112"/>
      <c r="D14" s="112"/>
      <c r="E14" s="112"/>
      <c r="F14" s="121"/>
      <c r="G14" s="20"/>
      <c r="H14" s="100"/>
      <c r="I14" s="23"/>
      <c r="J14" s="22"/>
      <c r="K14" s="121">
        <v>7829766.8899999997</v>
      </c>
      <c r="L14" s="22"/>
      <c r="M14" s="24"/>
    </row>
    <row r="15" spans="1:13" x14ac:dyDescent="0.2">
      <c r="A15" s="3" t="s">
        <v>194</v>
      </c>
      <c r="B15" s="4">
        <v>12</v>
      </c>
      <c r="C15" s="112">
        <v>5199537.5199999996</v>
      </c>
      <c r="D15" s="112">
        <v>6577359.3700000001</v>
      </c>
      <c r="E15" s="112">
        <v>17180386.079999998</v>
      </c>
      <c r="F15" s="121"/>
      <c r="G15" s="20"/>
      <c r="H15" s="112">
        <v>514574682.67000002</v>
      </c>
      <c r="I15" s="23"/>
      <c r="J15" s="22"/>
      <c r="K15" s="121">
        <v>302937198.64999998</v>
      </c>
      <c r="L15" s="22"/>
      <c r="M15" s="24"/>
    </row>
    <row r="16" spans="1:13" x14ac:dyDescent="0.2">
      <c r="A16" s="3" t="s">
        <v>227</v>
      </c>
      <c r="B16" s="4">
        <v>13</v>
      </c>
      <c r="C16" s="100"/>
      <c r="D16" s="107"/>
      <c r="E16" s="107"/>
      <c r="F16" s="100"/>
      <c r="G16" s="20"/>
      <c r="H16" s="100"/>
      <c r="I16" s="23"/>
      <c r="J16" s="22"/>
      <c r="K16" s="100"/>
      <c r="L16" s="22"/>
      <c r="M16" s="24"/>
    </row>
    <row r="17" spans="1:12" x14ac:dyDescent="0.2">
      <c r="A17" s="3" t="s">
        <v>328</v>
      </c>
      <c r="B17" s="4">
        <v>14</v>
      </c>
      <c r="C17" s="103"/>
      <c r="D17" s="107"/>
      <c r="E17" s="107"/>
      <c r="F17" s="100"/>
      <c r="G17" s="20"/>
      <c r="H17" s="100"/>
      <c r="I17" s="10"/>
      <c r="J17" s="10"/>
      <c r="K17" s="100"/>
    </row>
    <row r="18" spans="1:12" x14ac:dyDescent="0.2">
      <c r="A18" s="3" t="s">
        <v>228</v>
      </c>
      <c r="B18" s="4">
        <v>15</v>
      </c>
      <c r="C18" s="100"/>
      <c r="D18" s="113"/>
      <c r="E18" s="113"/>
      <c r="F18" s="113"/>
      <c r="G18" s="20"/>
      <c r="H18" s="113"/>
      <c r="I18" s="22"/>
      <c r="J18" s="22"/>
      <c r="K18" s="113"/>
      <c r="L18" s="22"/>
    </row>
    <row r="19" spans="1:12" x14ac:dyDescent="0.2">
      <c r="A19" s="3" t="s">
        <v>229</v>
      </c>
      <c r="B19" s="4">
        <v>16</v>
      </c>
      <c r="C19" s="74"/>
      <c r="D19" s="74"/>
      <c r="E19" s="74"/>
      <c r="F19" s="89"/>
      <c r="G19" s="20"/>
      <c r="H19" s="89"/>
      <c r="I19" s="23"/>
      <c r="J19" s="15"/>
      <c r="K19" s="89"/>
      <c r="L19" s="24"/>
    </row>
    <row r="20" spans="1:12" x14ac:dyDescent="0.2">
      <c r="A20" s="3" t="s">
        <v>230</v>
      </c>
      <c r="B20" s="4">
        <v>17</v>
      </c>
      <c r="C20" s="74"/>
      <c r="D20" s="90"/>
      <c r="E20" s="90"/>
      <c r="F20" s="74"/>
      <c r="G20" s="20"/>
      <c r="H20" s="74"/>
      <c r="I20" s="23"/>
      <c r="J20" s="22"/>
      <c r="K20" s="74"/>
      <c r="L20" s="24"/>
    </row>
    <row r="21" spans="1:12" x14ac:dyDescent="0.2">
      <c r="A21" s="6" t="s">
        <v>42</v>
      </c>
      <c r="B21" s="4">
        <v>18</v>
      </c>
      <c r="C21" s="166">
        <f>SUM(C7:C15)+C5+SUM(C18:C20)</f>
        <v>119043051.41999999</v>
      </c>
      <c r="D21" s="166">
        <f>SUM(D7:D15)+D5+SUM(D18:D20)</f>
        <v>157100364.75</v>
      </c>
      <c r="E21" s="166">
        <f>SUM(E7:E15)+E5+SUM(E18:E20)</f>
        <v>142926129.44999999</v>
      </c>
      <c r="F21" s="166">
        <f>SUM(F7:F15)+F5+SUM(F18:F20)</f>
        <v>0</v>
      </c>
      <c r="G21" s="20"/>
      <c r="H21" s="76">
        <f>SUM(H7:H15)+H5+SUM(H18:H20)</f>
        <v>1132813405.27</v>
      </c>
      <c r="I21" s="23"/>
      <c r="J21" s="15"/>
      <c r="K21" s="76">
        <v>1319111576.6900001</v>
      </c>
      <c r="L21" s="24"/>
    </row>
    <row r="22" spans="1:12" x14ac:dyDescent="0.2">
      <c r="A22" s="3" t="s">
        <v>6</v>
      </c>
      <c r="B22" s="4">
        <v>19</v>
      </c>
      <c r="C22" s="72"/>
      <c r="D22" s="73"/>
      <c r="E22" s="73"/>
      <c r="F22" s="75"/>
      <c r="G22" s="20"/>
      <c r="H22" s="75"/>
      <c r="I22" s="23"/>
      <c r="J22" s="22"/>
      <c r="K22" s="75"/>
      <c r="L22" s="24"/>
    </row>
    <row r="23" spans="1:12" x14ac:dyDescent="0.2">
      <c r="A23" s="3" t="s">
        <v>231</v>
      </c>
      <c r="B23" s="4">
        <v>20</v>
      </c>
      <c r="C23" s="99">
        <v>550000</v>
      </c>
      <c r="D23" s="100">
        <v>550000</v>
      </c>
      <c r="E23" s="100">
        <v>550000</v>
      </c>
      <c r="F23" s="121"/>
      <c r="G23" s="20"/>
      <c r="H23" s="112"/>
      <c r="I23" s="23"/>
      <c r="J23" s="10"/>
      <c r="K23" s="121">
        <v>8895600</v>
      </c>
      <c r="L23" s="24"/>
    </row>
    <row r="24" spans="1:12" x14ac:dyDescent="0.2">
      <c r="A24" s="3" t="s">
        <v>232</v>
      </c>
      <c r="B24" s="4">
        <v>21</v>
      </c>
      <c r="C24" s="89"/>
      <c r="D24" s="74"/>
      <c r="E24" s="74"/>
      <c r="F24" s="74"/>
      <c r="G24" s="20"/>
      <c r="H24" s="74"/>
      <c r="I24" s="10"/>
      <c r="J24" s="10"/>
      <c r="K24" s="74"/>
    </row>
    <row r="25" spans="1:12" x14ac:dyDescent="0.2">
      <c r="A25" s="7" t="s">
        <v>43</v>
      </c>
      <c r="B25" s="4">
        <v>22</v>
      </c>
      <c r="C25" s="166">
        <f>SUM(C23:C24)</f>
        <v>550000</v>
      </c>
      <c r="D25" s="166">
        <f>SUM(D23:D24)</f>
        <v>550000</v>
      </c>
      <c r="E25" s="166">
        <f>SUM(E23:E24)</f>
        <v>550000</v>
      </c>
      <c r="F25" s="166">
        <f>SUM(F23:F24)</f>
        <v>0</v>
      </c>
      <c r="G25" s="20"/>
      <c r="H25" s="77">
        <f>SUM(H23:H24)</f>
        <v>0</v>
      </c>
      <c r="I25" s="10"/>
      <c r="J25" s="10"/>
      <c r="K25" s="77">
        <v>8895600</v>
      </c>
    </row>
    <row r="26" spans="1:12" x14ac:dyDescent="0.2">
      <c r="A26" s="3" t="s">
        <v>7</v>
      </c>
      <c r="B26" s="4">
        <v>23</v>
      </c>
      <c r="C26" s="72"/>
      <c r="D26" s="73"/>
      <c r="E26" s="73"/>
      <c r="F26" s="75"/>
      <c r="G26" s="20"/>
      <c r="H26" s="75"/>
      <c r="I26" s="10"/>
      <c r="J26" s="10"/>
      <c r="K26" s="75"/>
    </row>
    <row r="27" spans="1:12" x14ac:dyDescent="0.2">
      <c r="A27" s="3" t="s">
        <v>233</v>
      </c>
      <c r="B27" s="4">
        <v>24</v>
      </c>
      <c r="C27" s="112">
        <v>40216781.960000001</v>
      </c>
      <c r="D27" s="112">
        <v>44857458.469999999</v>
      </c>
      <c r="E27" s="112">
        <v>54071267.890000001</v>
      </c>
      <c r="F27" s="121"/>
      <c r="G27" s="20"/>
      <c r="H27" s="112">
        <v>231816529.90000001</v>
      </c>
      <c r="I27" s="10"/>
      <c r="J27" s="10"/>
      <c r="K27" s="121">
        <v>512409658.60000002</v>
      </c>
    </row>
    <row r="28" spans="1:12" x14ac:dyDescent="0.2">
      <c r="A28" s="3" t="s">
        <v>234</v>
      </c>
      <c r="B28" s="4">
        <v>25</v>
      </c>
      <c r="C28" s="112">
        <v>12377909.52</v>
      </c>
      <c r="D28" s="112">
        <v>17537060.699999999</v>
      </c>
      <c r="E28" s="112">
        <v>23478455.100000001</v>
      </c>
      <c r="F28" s="121"/>
      <c r="G28" s="20"/>
      <c r="H28" s="112">
        <v>24183891.399999999</v>
      </c>
      <c r="I28" s="10"/>
      <c r="J28" s="10"/>
      <c r="K28" s="121">
        <v>117186641.92</v>
      </c>
    </row>
    <row r="29" spans="1:12" x14ac:dyDescent="0.2">
      <c r="A29" s="3" t="s">
        <v>235</v>
      </c>
      <c r="B29" s="4">
        <v>26</v>
      </c>
      <c r="C29" s="169">
        <f>C27-C28</f>
        <v>27838872.440000001</v>
      </c>
      <c r="D29" s="169">
        <f>D27-D28</f>
        <v>27320397.77</v>
      </c>
      <c r="E29" s="169">
        <f>E27-E28</f>
        <v>30592812.789999999</v>
      </c>
      <c r="F29" s="169">
        <f>F27-F28</f>
        <v>0</v>
      </c>
      <c r="G29" s="20"/>
      <c r="H29" s="100">
        <f>H27-H28</f>
        <v>207632638.5</v>
      </c>
      <c r="I29" s="10"/>
      <c r="J29" s="10"/>
      <c r="K29" s="100">
        <v>395223016.68000001</v>
      </c>
    </row>
    <row r="30" spans="1:12" x14ac:dyDescent="0.2">
      <c r="A30" s="3" t="s">
        <v>236</v>
      </c>
      <c r="B30" s="4">
        <v>27</v>
      </c>
      <c r="C30" s="100"/>
      <c r="D30" s="100"/>
      <c r="E30" s="100"/>
      <c r="F30" s="100"/>
      <c r="G30" s="20"/>
      <c r="H30" s="100"/>
      <c r="I30" s="10"/>
      <c r="J30" s="10"/>
      <c r="K30" s="100"/>
    </row>
    <row r="31" spans="1:12" x14ac:dyDescent="0.2">
      <c r="A31" s="3" t="s">
        <v>237</v>
      </c>
      <c r="B31" s="4">
        <v>28</v>
      </c>
      <c r="C31" s="169">
        <f>C29-C30</f>
        <v>27838872.440000001</v>
      </c>
      <c r="D31" s="169">
        <f>D29-D30</f>
        <v>27320397.77</v>
      </c>
      <c r="E31" s="169">
        <f>E29-E30</f>
        <v>30592812.789999999</v>
      </c>
      <c r="F31" s="169">
        <f>F29-F30</f>
        <v>0</v>
      </c>
      <c r="G31" s="20"/>
      <c r="H31" s="100">
        <f>H29-H30</f>
        <v>207632638.5</v>
      </c>
      <c r="I31" s="10"/>
      <c r="J31" s="10"/>
      <c r="K31" s="100">
        <v>395223016.68000001</v>
      </c>
    </row>
    <row r="32" spans="1:12" x14ac:dyDescent="0.2">
      <c r="A32" s="3" t="s">
        <v>319</v>
      </c>
      <c r="B32" s="4">
        <v>29</v>
      </c>
      <c r="C32" s="101"/>
      <c r="D32" s="101"/>
      <c r="E32" s="101"/>
      <c r="F32" s="121"/>
      <c r="G32" s="20"/>
      <c r="H32" s="100">
        <v>34990615.280000001</v>
      </c>
      <c r="I32" s="10"/>
      <c r="J32" s="10"/>
      <c r="K32" s="121">
        <v>61825940.350000001</v>
      </c>
    </row>
    <row r="33" spans="1:11" x14ac:dyDescent="0.2">
      <c r="A33" s="3" t="s">
        <v>238</v>
      </c>
      <c r="B33" s="4">
        <v>30</v>
      </c>
      <c r="C33" s="103">
        <v>24437102.699999999</v>
      </c>
      <c r="D33" s="112">
        <v>27250075.23</v>
      </c>
      <c r="E33" s="112">
        <v>68631569.030000001</v>
      </c>
      <c r="F33" s="121"/>
      <c r="G33" s="20"/>
      <c r="H33" s="112">
        <v>384630730.69999999</v>
      </c>
      <c r="I33" s="10"/>
      <c r="J33" s="10"/>
      <c r="K33" s="121">
        <v>85482655.969999999</v>
      </c>
    </row>
    <row r="34" spans="1:11" x14ac:dyDescent="0.2">
      <c r="A34" s="3" t="s">
        <v>239</v>
      </c>
      <c r="B34" s="4">
        <v>31</v>
      </c>
      <c r="C34" s="74"/>
      <c r="D34" s="74"/>
      <c r="E34" s="74"/>
      <c r="F34" s="89"/>
      <c r="G34" s="20"/>
      <c r="H34" s="89"/>
      <c r="I34" s="10"/>
      <c r="J34" s="10"/>
      <c r="K34" s="89"/>
    </row>
    <row r="35" spans="1:11" x14ac:dyDescent="0.2">
      <c r="A35" s="7" t="s">
        <v>44</v>
      </c>
      <c r="B35" s="4">
        <v>32</v>
      </c>
      <c r="C35" s="166">
        <f>C31+C32+C33</f>
        <v>52275975.140000001</v>
      </c>
      <c r="D35" s="166">
        <f>D31+D32+D33</f>
        <v>54570473</v>
      </c>
      <c r="E35" s="166">
        <f>E31+E32+E33</f>
        <v>99224381.819999993</v>
      </c>
      <c r="F35" s="166">
        <f>F31+F32+F33</f>
        <v>0</v>
      </c>
      <c r="G35" s="20"/>
      <c r="H35" s="76">
        <f>H31+H32+H33</f>
        <v>627253984.48000002</v>
      </c>
      <c r="I35" s="10"/>
      <c r="J35" s="10"/>
      <c r="K35" s="76">
        <v>542531613</v>
      </c>
    </row>
    <row r="36" spans="1:11" x14ac:dyDescent="0.2">
      <c r="A36" s="3" t="s">
        <v>45</v>
      </c>
      <c r="B36" s="4">
        <v>33</v>
      </c>
      <c r="C36" s="72"/>
      <c r="D36" s="73"/>
      <c r="E36" s="73"/>
      <c r="F36" s="75"/>
      <c r="G36" s="20"/>
      <c r="H36" s="75"/>
      <c r="I36" s="10"/>
      <c r="J36" s="10"/>
      <c r="K36" s="75"/>
    </row>
    <row r="37" spans="1:11" x14ac:dyDescent="0.2">
      <c r="A37" s="3" t="s">
        <v>240</v>
      </c>
      <c r="B37" s="4">
        <v>34</v>
      </c>
      <c r="C37" s="116"/>
      <c r="D37" s="116"/>
      <c r="E37" s="116"/>
      <c r="F37" s="121"/>
      <c r="G37" s="20"/>
      <c r="H37" s="112">
        <v>34120536</v>
      </c>
      <c r="I37" s="10"/>
      <c r="J37" s="10"/>
      <c r="K37" s="121">
        <v>253731938.66</v>
      </c>
    </row>
    <row r="38" spans="1:11" x14ac:dyDescent="0.2">
      <c r="A38" s="3" t="s">
        <v>241</v>
      </c>
      <c r="B38" s="4">
        <v>35</v>
      </c>
      <c r="C38" s="115"/>
      <c r="D38" s="115"/>
      <c r="E38" s="115"/>
      <c r="F38" s="135"/>
      <c r="G38" s="20"/>
      <c r="H38" s="112">
        <v>1958689.06</v>
      </c>
      <c r="I38" s="10"/>
      <c r="J38" s="10"/>
      <c r="K38" s="101"/>
    </row>
    <row r="39" spans="1:11" x14ac:dyDescent="0.2">
      <c r="A39" s="3" t="s">
        <v>317</v>
      </c>
      <c r="B39" s="4">
        <v>36</v>
      </c>
      <c r="C39" s="87"/>
      <c r="D39" s="74"/>
      <c r="E39" s="74"/>
      <c r="F39" s="89"/>
      <c r="G39" s="20"/>
      <c r="H39" s="89"/>
      <c r="I39" s="10"/>
      <c r="J39" s="10"/>
      <c r="K39" s="89"/>
    </row>
    <row r="40" spans="1:11" x14ac:dyDescent="0.2">
      <c r="A40" s="7" t="s">
        <v>207</v>
      </c>
      <c r="B40" s="4">
        <v>37</v>
      </c>
      <c r="C40" s="166">
        <f>C37+C38+C39</f>
        <v>0</v>
      </c>
      <c r="D40" s="166">
        <f>D37+D38+D39</f>
        <v>0</v>
      </c>
      <c r="E40" s="166">
        <f>E37+E38+E39</f>
        <v>0</v>
      </c>
      <c r="F40" s="166">
        <f>F37+F38+F39</f>
        <v>0</v>
      </c>
      <c r="G40" s="20"/>
      <c r="H40" s="76">
        <f>H37+H38+H39</f>
        <v>36079225.060000002</v>
      </c>
      <c r="I40" s="10"/>
      <c r="J40" s="10"/>
      <c r="K40" s="76">
        <v>253731938.66</v>
      </c>
    </row>
    <row r="41" spans="1:11" x14ac:dyDescent="0.2">
      <c r="A41" s="3" t="s">
        <v>10</v>
      </c>
      <c r="B41" s="4">
        <v>38</v>
      </c>
      <c r="C41" s="72"/>
      <c r="D41" s="73"/>
      <c r="E41" s="73"/>
      <c r="F41" s="75"/>
      <c r="G41" s="20"/>
      <c r="H41" s="75"/>
      <c r="I41" s="10"/>
      <c r="J41" s="10"/>
      <c r="K41" s="75"/>
    </row>
    <row r="42" spans="1:11" x14ac:dyDescent="0.2">
      <c r="A42" s="3" t="s">
        <v>242</v>
      </c>
      <c r="B42" s="4">
        <v>39</v>
      </c>
      <c r="C42" s="74"/>
      <c r="D42" s="74"/>
      <c r="E42" s="74"/>
      <c r="F42" s="74"/>
      <c r="G42" s="20"/>
      <c r="H42" s="74"/>
      <c r="I42" s="10"/>
      <c r="J42" s="10"/>
      <c r="K42" s="74"/>
    </row>
    <row r="43" spans="1:11" x14ac:dyDescent="0.2">
      <c r="A43" s="3"/>
      <c r="B43" s="4">
        <v>40</v>
      </c>
      <c r="C43" s="74"/>
      <c r="D43" s="74"/>
      <c r="E43" s="74"/>
      <c r="F43" s="74"/>
      <c r="G43" s="20"/>
      <c r="H43" s="74"/>
      <c r="I43" s="10"/>
      <c r="J43" s="10"/>
      <c r="K43" s="74"/>
    </row>
    <row r="44" spans="1:11" x14ac:dyDescent="0.2">
      <c r="A44" s="6" t="s">
        <v>40</v>
      </c>
      <c r="B44" s="4">
        <v>41</v>
      </c>
      <c r="C44" s="166">
        <f>C25+C35+C40+C42</f>
        <v>52825975.140000001</v>
      </c>
      <c r="D44" s="166">
        <f>D25+D35+D40+D42</f>
        <v>55120473</v>
      </c>
      <c r="E44" s="166">
        <f>E25+E35+E40+E42</f>
        <v>99774381.819999993</v>
      </c>
      <c r="F44" s="166">
        <f>F25+F35+F40+F42</f>
        <v>0</v>
      </c>
      <c r="G44" s="20"/>
      <c r="H44" s="76">
        <f>H25+H35+H40+H42</f>
        <v>663333209.53999996</v>
      </c>
      <c r="I44" s="10"/>
      <c r="J44" s="10"/>
      <c r="K44" s="76">
        <v>805159151.65999997</v>
      </c>
    </row>
    <row r="45" spans="1:11" x14ac:dyDescent="0.2">
      <c r="A45" s="3"/>
      <c r="B45" s="4">
        <v>42</v>
      </c>
      <c r="C45" s="74"/>
      <c r="D45" s="74"/>
      <c r="E45" s="74"/>
      <c r="F45" s="74"/>
      <c r="G45" s="20"/>
      <c r="H45" s="74"/>
      <c r="I45" s="10"/>
      <c r="J45" s="10"/>
      <c r="K45" s="74"/>
    </row>
    <row r="46" spans="1:11" x14ac:dyDescent="0.2">
      <c r="A46" s="6" t="s">
        <v>208</v>
      </c>
      <c r="B46" s="4">
        <v>43</v>
      </c>
      <c r="C46" s="166">
        <f>C21+C44</f>
        <v>171869026.56</v>
      </c>
      <c r="D46" s="166">
        <f>D21+D44</f>
        <v>212220837.75</v>
      </c>
      <c r="E46" s="166">
        <f>E21+E44</f>
        <v>242700511.26999998</v>
      </c>
      <c r="F46" s="166">
        <f>F21+F44</f>
        <v>0</v>
      </c>
      <c r="G46" s="20"/>
      <c r="H46" s="76">
        <f>H21+H44</f>
        <v>1796146614.8099999</v>
      </c>
      <c r="I46" s="10"/>
      <c r="J46" s="10"/>
      <c r="K46" s="76">
        <v>2124270728.3499999</v>
      </c>
    </row>
    <row r="47" spans="1:11" ht="19.5" customHeight="1" x14ac:dyDescent="0.2">
      <c r="A47" s="83" t="s">
        <v>2</v>
      </c>
      <c r="B47" s="1">
        <v>44</v>
      </c>
      <c r="C47" s="81">
        <f>C3</f>
        <v>40178</v>
      </c>
      <c r="D47" s="81">
        <f>D3</f>
        <v>40543</v>
      </c>
      <c r="E47" s="81">
        <f>E3</f>
        <v>40908</v>
      </c>
      <c r="F47" s="81">
        <f>F3</f>
        <v>41274</v>
      </c>
      <c r="G47" s="25"/>
      <c r="H47" s="81">
        <f>H3</f>
        <v>40634</v>
      </c>
      <c r="I47" s="290"/>
      <c r="J47" s="290"/>
      <c r="K47" s="81">
        <v>40664</v>
      </c>
    </row>
    <row r="48" spans="1:11" x14ac:dyDescent="0.2">
      <c r="A48" s="3" t="s">
        <v>4</v>
      </c>
      <c r="B48" s="4">
        <v>45</v>
      </c>
      <c r="C48" s="72"/>
      <c r="D48" s="73"/>
      <c r="E48" s="73"/>
      <c r="F48" s="89"/>
      <c r="H48" s="89"/>
      <c r="I48" s="26"/>
      <c r="J48" s="19"/>
      <c r="K48" s="89"/>
    </row>
    <row r="49" spans="1:11" x14ac:dyDescent="0.2">
      <c r="A49" s="8" t="s">
        <v>243</v>
      </c>
      <c r="B49" s="4">
        <v>46</v>
      </c>
      <c r="C49" s="112">
        <v>31000000</v>
      </c>
      <c r="D49" s="112">
        <v>35000000</v>
      </c>
      <c r="E49" s="112">
        <v>50000000</v>
      </c>
      <c r="F49" s="121"/>
      <c r="H49" s="112">
        <v>338000000</v>
      </c>
      <c r="K49" s="121">
        <v>610000000</v>
      </c>
    </row>
    <row r="50" spans="1:11" x14ac:dyDescent="0.2">
      <c r="A50" s="8" t="s">
        <v>244</v>
      </c>
      <c r="B50" s="4">
        <v>47</v>
      </c>
      <c r="C50" s="112"/>
      <c r="D50" s="112"/>
      <c r="E50" s="112"/>
      <c r="F50" s="100"/>
      <c r="H50" s="100"/>
      <c r="K50" s="100"/>
    </row>
    <row r="51" spans="1:11" x14ac:dyDescent="0.2">
      <c r="A51" s="8" t="s">
        <v>245</v>
      </c>
      <c r="B51" s="4">
        <v>48</v>
      </c>
      <c r="C51" s="112"/>
      <c r="D51" s="112"/>
      <c r="E51" s="112">
        <v>20000000</v>
      </c>
      <c r="F51" s="121"/>
      <c r="G51" s="102"/>
      <c r="H51" s="112">
        <v>423300000</v>
      </c>
      <c r="K51" s="121">
        <v>426800000</v>
      </c>
    </row>
    <row r="52" spans="1:11" x14ac:dyDescent="0.2">
      <c r="A52" s="8" t="s">
        <v>198</v>
      </c>
      <c r="B52" s="4">
        <v>49</v>
      </c>
      <c r="C52" s="112">
        <v>77173936.140000001</v>
      </c>
      <c r="D52" s="112">
        <v>10258696.800000001</v>
      </c>
      <c r="E52" s="112">
        <v>29843821.289999999</v>
      </c>
      <c r="F52" s="121"/>
      <c r="H52" s="112">
        <v>15652149.640000001</v>
      </c>
      <c r="K52" s="121">
        <v>531864.05000000005</v>
      </c>
    </row>
    <row r="53" spans="1:11" x14ac:dyDescent="0.2">
      <c r="A53" s="8" t="s">
        <v>246</v>
      </c>
      <c r="B53" s="4">
        <v>50</v>
      </c>
      <c r="C53" s="112"/>
      <c r="D53" s="112"/>
      <c r="E53" s="112"/>
      <c r="F53" s="121"/>
      <c r="H53" s="112">
        <v>12121192.57</v>
      </c>
      <c r="K53" s="121">
        <v>11670683.210000001</v>
      </c>
    </row>
    <row r="54" spans="1:11" x14ac:dyDescent="0.2">
      <c r="A54" s="8" t="s">
        <v>247</v>
      </c>
      <c r="B54" s="4">
        <v>51</v>
      </c>
      <c r="C54" s="112"/>
      <c r="D54" s="112"/>
      <c r="E54" s="112"/>
      <c r="F54" s="112"/>
      <c r="H54" s="112"/>
      <c r="K54" s="112"/>
    </row>
    <row r="55" spans="1:11" x14ac:dyDescent="0.2">
      <c r="A55" s="8" t="s">
        <v>248</v>
      </c>
      <c r="B55" s="4">
        <v>52</v>
      </c>
      <c r="C55" s="103">
        <v>1744226.94</v>
      </c>
      <c r="D55" s="101">
        <v>1517708.97</v>
      </c>
      <c r="E55" s="101">
        <v>721785.98</v>
      </c>
      <c r="F55" s="112"/>
      <c r="H55" s="112"/>
      <c r="K55" s="112"/>
    </row>
    <row r="56" spans="1:11" x14ac:dyDescent="0.2">
      <c r="A56" s="8" t="s">
        <v>249</v>
      </c>
      <c r="B56" s="4">
        <v>53</v>
      </c>
      <c r="C56" s="100"/>
      <c r="D56" s="100"/>
      <c r="E56" s="100"/>
      <c r="F56" s="100"/>
      <c r="H56" s="100"/>
      <c r="K56" s="100"/>
    </row>
    <row r="57" spans="1:11" x14ac:dyDescent="0.2">
      <c r="A57" s="8" t="s">
        <v>250</v>
      </c>
      <c r="B57" s="4">
        <v>54</v>
      </c>
      <c r="C57" s="100">
        <v>206618.9</v>
      </c>
      <c r="D57" s="120">
        <v>436808.54</v>
      </c>
      <c r="E57" s="120">
        <v>-133839.85999999999</v>
      </c>
      <c r="F57" s="120"/>
      <c r="H57" s="120">
        <v>-95659910.75</v>
      </c>
      <c r="K57" s="122">
        <v>2513843.59</v>
      </c>
    </row>
    <row r="58" spans="1:11" x14ac:dyDescent="0.2">
      <c r="A58" s="8" t="s">
        <v>251</v>
      </c>
      <c r="B58" s="4">
        <v>55</v>
      </c>
      <c r="C58" s="100">
        <v>2698.4</v>
      </c>
      <c r="D58" s="100">
        <v>8326.61</v>
      </c>
      <c r="E58" s="100">
        <v>-0.09</v>
      </c>
      <c r="F58" s="100"/>
      <c r="H58" s="101">
        <v>60553.19</v>
      </c>
      <c r="K58" s="100"/>
    </row>
    <row r="59" spans="1:11" x14ac:dyDescent="0.2">
      <c r="A59" s="8" t="s">
        <v>252</v>
      </c>
      <c r="B59" s="4">
        <v>56</v>
      </c>
      <c r="C59" s="100"/>
      <c r="D59" s="100">
        <v>71963132.680000007</v>
      </c>
      <c r="E59" s="100">
        <v>39738662.93</v>
      </c>
      <c r="F59" s="121"/>
      <c r="H59" s="101">
        <v>12667530.810000001</v>
      </c>
      <c r="K59" s="121">
        <v>123849.76</v>
      </c>
    </row>
    <row r="60" spans="1:11" x14ac:dyDescent="0.2">
      <c r="A60" s="8" t="s">
        <v>253</v>
      </c>
      <c r="B60" s="4">
        <v>57</v>
      </c>
      <c r="C60" s="100"/>
      <c r="D60" s="101"/>
      <c r="E60" s="101"/>
      <c r="F60" s="101"/>
      <c r="H60" s="101"/>
      <c r="K60" s="101"/>
    </row>
    <row r="61" spans="1:11" x14ac:dyDescent="0.2">
      <c r="A61" s="8" t="s">
        <v>254</v>
      </c>
      <c r="B61" s="4">
        <v>58</v>
      </c>
      <c r="C61" s="99"/>
      <c r="D61" s="101"/>
      <c r="E61" s="101"/>
      <c r="F61" s="100"/>
      <c r="H61" s="100"/>
      <c r="K61" s="100"/>
    </row>
    <row r="62" spans="1:11" x14ac:dyDescent="0.2">
      <c r="A62" s="44" t="s">
        <v>255</v>
      </c>
      <c r="B62" s="4">
        <v>59</v>
      </c>
      <c r="C62" s="74"/>
      <c r="D62" s="100"/>
      <c r="E62" s="100"/>
      <c r="F62" s="100"/>
      <c r="H62" s="100"/>
      <c r="K62" s="100"/>
    </row>
    <row r="63" spans="1:11" x14ac:dyDescent="0.2">
      <c r="A63" s="8" t="s">
        <v>256</v>
      </c>
      <c r="B63" s="4">
        <v>60</v>
      </c>
      <c r="C63" s="100"/>
      <c r="D63" s="100"/>
      <c r="E63" s="100"/>
      <c r="F63" s="100"/>
      <c r="H63" s="100"/>
      <c r="K63" s="100"/>
    </row>
    <row r="64" spans="1:11" x14ac:dyDescent="0.2">
      <c r="A64" s="9" t="s">
        <v>195</v>
      </c>
      <c r="B64" s="4">
        <v>61</v>
      </c>
      <c r="C64" s="166">
        <f>SUM(C49:C63)-C50</f>
        <v>110127480.38000001</v>
      </c>
      <c r="D64" s="166">
        <f>SUM(D49:D63)-D50</f>
        <v>119184673.59999999</v>
      </c>
      <c r="E64" s="166">
        <f>SUM(E49:E63)-E50</f>
        <v>140170430.25</v>
      </c>
      <c r="F64" s="166">
        <f>SUM(F49:F63)-F50</f>
        <v>0</v>
      </c>
      <c r="H64" s="78">
        <f>SUM(H49:H63)-H50</f>
        <v>706141515.46000004</v>
      </c>
      <c r="K64" s="78">
        <v>1051640240.61</v>
      </c>
    </row>
    <row r="65" spans="1:11" x14ac:dyDescent="0.2">
      <c r="A65" s="3" t="s">
        <v>5</v>
      </c>
      <c r="B65" s="4">
        <v>62</v>
      </c>
      <c r="C65" s="72"/>
      <c r="D65" s="73"/>
      <c r="E65" s="73"/>
      <c r="F65" s="75"/>
      <c r="H65" s="75"/>
      <c r="K65" s="75"/>
    </row>
    <row r="66" spans="1:11" x14ac:dyDescent="0.2">
      <c r="A66" s="8" t="s">
        <v>257</v>
      </c>
      <c r="B66" s="4">
        <v>63</v>
      </c>
      <c r="C66" s="103"/>
      <c r="D66" s="101"/>
      <c r="E66" s="101"/>
      <c r="F66" s="121"/>
      <c r="H66" s="112"/>
      <c r="K66" s="121">
        <v>191000000</v>
      </c>
    </row>
    <row r="67" spans="1:11" x14ac:dyDescent="0.2">
      <c r="A67" s="8" t="s">
        <v>244</v>
      </c>
      <c r="B67" s="4">
        <v>64</v>
      </c>
      <c r="C67" s="74"/>
      <c r="D67" s="100"/>
      <c r="E67" s="100"/>
      <c r="F67" s="100"/>
      <c r="H67" s="100"/>
      <c r="K67" s="100"/>
    </row>
    <row r="68" spans="1:11" x14ac:dyDescent="0.2">
      <c r="A68" s="8" t="s">
        <v>258</v>
      </c>
      <c r="B68" s="4">
        <v>65</v>
      </c>
      <c r="C68" s="100"/>
      <c r="D68" s="100"/>
      <c r="E68" s="100"/>
      <c r="F68" s="100"/>
      <c r="H68" s="100"/>
      <c r="K68" s="100"/>
    </row>
    <row r="69" spans="1:11" x14ac:dyDescent="0.2">
      <c r="A69" s="8" t="s">
        <v>259</v>
      </c>
      <c r="B69" s="4">
        <v>66</v>
      </c>
      <c r="C69" s="103"/>
      <c r="D69" s="101"/>
      <c r="E69" s="101"/>
      <c r="F69" s="112"/>
      <c r="H69" s="112"/>
      <c r="K69" s="112"/>
    </row>
    <row r="70" spans="1:11" x14ac:dyDescent="0.2">
      <c r="A70" s="8" t="s">
        <v>260</v>
      </c>
      <c r="B70" s="4">
        <v>67</v>
      </c>
      <c r="C70" s="100"/>
      <c r="D70" s="100"/>
      <c r="E70" s="100"/>
      <c r="F70" s="100"/>
      <c r="H70" s="100"/>
      <c r="K70" s="100"/>
    </row>
    <row r="71" spans="1:11" x14ac:dyDescent="0.2">
      <c r="A71" s="8" t="s">
        <v>254</v>
      </c>
      <c r="B71" s="4">
        <v>68</v>
      </c>
      <c r="C71" s="91"/>
      <c r="D71" s="72"/>
      <c r="E71" s="72"/>
      <c r="F71" s="89"/>
      <c r="H71" s="89"/>
      <c r="K71" s="89"/>
    </row>
    <row r="72" spans="1:11" x14ac:dyDescent="0.2">
      <c r="A72" s="9" t="s">
        <v>197</v>
      </c>
      <c r="B72" s="4">
        <v>69</v>
      </c>
      <c r="C72" s="166">
        <f>SUM(C66:C71)-C67</f>
        <v>0</v>
      </c>
      <c r="D72" s="166">
        <f>SUM(D66:D71)-D67</f>
        <v>0</v>
      </c>
      <c r="E72" s="166">
        <f>SUM(E66:E71)-E67</f>
        <v>0</v>
      </c>
      <c r="F72" s="166">
        <f>SUM(F66:F71)-F67</f>
        <v>0</v>
      </c>
      <c r="H72" s="78">
        <f>SUM(H66:H71)-H67</f>
        <v>0</v>
      </c>
      <c r="K72" s="78">
        <v>191000000</v>
      </c>
    </row>
    <row r="73" spans="1:11" x14ac:dyDescent="0.2">
      <c r="A73" s="3" t="s">
        <v>8</v>
      </c>
      <c r="B73" s="4">
        <v>70</v>
      </c>
      <c r="C73" s="72"/>
      <c r="D73" s="73"/>
      <c r="E73" s="73"/>
      <c r="F73" s="75"/>
      <c r="H73" s="75"/>
      <c r="K73" s="75"/>
    </row>
    <row r="74" spans="1:11" x14ac:dyDescent="0.2">
      <c r="A74" s="8" t="s">
        <v>261</v>
      </c>
      <c r="B74" s="4">
        <v>71</v>
      </c>
      <c r="C74" s="72"/>
      <c r="D74" s="72"/>
      <c r="E74" s="72"/>
      <c r="F74" s="72"/>
      <c r="H74" s="72"/>
      <c r="K74" s="72"/>
    </row>
    <row r="75" spans="1:11" x14ac:dyDescent="0.2">
      <c r="A75" s="9" t="s">
        <v>203</v>
      </c>
      <c r="B75" s="4">
        <v>72</v>
      </c>
      <c r="C75" s="166">
        <f>C64+C72+C74</f>
        <v>110127480.38000001</v>
      </c>
      <c r="D75" s="166">
        <f>D64+D72+D74</f>
        <v>119184673.59999999</v>
      </c>
      <c r="E75" s="166">
        <f>E64+E72+E74</f>
        <v>140170430.25</v>
      </c>
      <c r="F75" s="166">
        <f>F64+F72+F74</f>
        <v>0</v>
      </c>
      <c r="H75" s="78">
        <f>H64+H72+H74</f>
        <v>706141515.46000004</v>
      </c>
      <c r="K75" s="78">
        <v>1242640240.6100001</v>
      </c>
    </row>
    <row r="76" spans="1:11" x14ac:dyDescent="0.2">
      <c r="A76" s="3" t="s">
        <v>9</v>
      </c>
      <c r="B76" s="4">
        <v>73</v>
      </c>
      <c r="C76" s="72"/>
      <c r="D76" s="73"/>
      <c r="E76" s="73"/>
      <c r="F76" s="75"/>
      <c r="H76" s="75"/>
      <c r="K76" s="75"/>
    </row>
    <row r="77" spans="1:11" x14ac:dyDescent="0.2">
      <c r="A77" s="8" t="s">
        <v>183</v>
      </c>
      <c r="B77" s="4">
        <v>74</v>
      </c>
      <c r="C77" s="116">
        <v>6000000</v>
      </c>
      <c r="D77" s="116">
        <v>6000000</v>
      </c>
      <c r="E77" s="116">
        <v>6000000</v>
      </c>
      <c r="F77" s="121"/>
      <c r="H77" s="112">
        <v>200000000</v>
      </c>
      <c r="K77" s="121">
        <v>88880000</v>
      </c>
    </row>
    <row r="78" spans="1:11" x14ac:dyDescent="0.2">
      <c r="A78" s="8" t="s">
        <v>262</v>
      </c>
      <c r="B78" s="4">
        <v>75</v>
      </c>
      <c r="C78" s="74"/>
      <c r="D78" s="100"/>
      <c r="E78" s="100"/>
      <c r="F78" s="100"/>
      <c r="H78" s="100"/>
      <c r="K78" s="100"/>
    </row>
    <row r="79" spans="1:11" x14ac:dyDescent="0.2">
      <c r="A79" s="8" t="s">
        <v>263</v>
      </c>
      <c r="B79" s="4">
        <v>76</v>
      </c>
      <c r="C79" s="169">
        <f>C77-C78</f>
        <v>6000000</v>
      </c>
      <c r="D79" s="169">
        <f>D77-D78</f>
        <v>6000000</v>
      </c>
      <c r="E79" s="169">
        <f>E77-E78</f>
        <v>6000000</v>
      </c>
      <c r="F79" s="169">
        <f>F77-F78</f>
        <v>0</v>
      </c>
      <c r="H79" s="100">
        <f>H77-H78</f>
        <v>200000000</v>
      </c>
      <c r="K79" s="100">
        <v>88880000</v>
      </c>
    </row>
    <row r="80" spans="1:11" x14ac:dyDescent="0.2">
      <c r="A80" s="8" t="s">
        <v>264</v>
      </c>
      <c r="B80" s="4">
        <v>77</v>
      </c>
      <c r="C80" s="100"/>
      <c r="D80" s="100"/>
      <c r="E80" s="100"/>
      <c r="F80" s="100"/>
      <c r="H80" s="100"/>
      <c r="K80" s="100"/>
    </row>
    <row r="81" spans="1:11" x14ac:dyDescent="0.2">
      <c r="A81" s="8" t="s">
        <v>323</v>
      </c>
      <c r="B81" s="4">
        <v>78</v>
      </c>
      <c r="C81" s="100"/>
      <c r="D81" s="100"/>
      <c r="E81" s="100"/>
      <c r="F81" s="100"/>
      <c r="H81" s="100"/>
      <c r="K81" s="100"/>
    </row>
    <row r="82" spans="1:11" x14ac:dyDescent="0.2">
      <c r="A82" s="8" t="s">
        <v>324</v>
      </c>
      <c r="B82" s="4">
        <v>79</v>
      </c>
      <c r="C82" s="100"/>
      <c r="D82" s="100"/>
      <c r="E82" s="100"/>
      <c r="F82" s="100"/>
      <c r="H82" s="100"/>
      <c r="K82" s="100"/>
    </row>
    <row r="83" spans="1:11" x14ac:dyDescent="0.2">
      <c r="A83" s="8" t="s">
        <v>325</v>
      </c>
      <c r="B83" s="4">
        <v>80</v>
      </c>
      <c r="C83" s="100"/>
      <c r="D83" s="100"/>
      <c r="E83" s="100"/>
      <c r="F83" s="100"/>
      <c r="H83" s="100"/>
      <c r="K83" s="100"/>
    </row>
    <row r="84" spans="1:11" x14ac:dyDescent="0.2">
      <c r="A84" s="8" t="s">
        <v>326</v>
      </c>
      <c r="B84" s="4">
        <v>81</v>
      </c>
      <c r="C84" s="100"/>
      <c r="D84" s="100"/>
      <c r="E84" s="100"/>
      <c r="F84" s="100"/>
      <c r="H84" s="100"/>
      <c r="K84" s="100"/>
    </row>
    <row r="85" spans="1:11" x14ac:dyDescent="0.2">
      <c r="A85" s="8" t="s">
        <v>184</v>
      </c>
      <c r="B85" s="4">
        <v>82</v>
      </c>
      <c r="C85" s="116">
        <v>25818000</v>
      </c>
      <c r="D85" s="116">
        <v>46818000</v>
      </c>
      <c r="E85" s="116">
        <v>46818000</v>
      </c>
      <c r="F85" s="121"/>
      <c r="H85" s="112">
        <v>80000000</v>
      </c>
      <c r="K85" s="121">
        <v>41130000</v>
      </c>
    </row>
    <row r="86" spans="1:11" x14ac:dyDescent="0.2">
      <c r="A86" s="8" t="s">
        <v>265</v>
      </c>
      <c r="B86" s="4">
        <v>83</v>
      </c>
      <c r="C86" s="100">
        <v>20954110.82</v>
      </c>
      <c r="D86" s="101">
        <v>25770124.149999999</v>
      </c>
      <c r="E86" s="101">
        <v>27194211.68</v>
      </c>
      <c r="F86" s="121"/>
      <c r="H86" s="112"/>
      <c r="K86" s="121">
        <v>99089938.840000004</v>
      </c>
    </row>
    <row r="87" spans="1:11" x14ac:dyDescent="0.2">
      <c r="A87" s="8" t="s">
        <v>266</v>
      </c>
      <c r="B87" s="4">
        <v>84</v>
      </c>
      <c r="C87" s="101"/>
      <c r="D87" s="100"/>
      <c r="E87" s="100"/>
      <c r="F87" s="100"/>
      <c r="H87" s="100"/>
      <c r="K87" s="100"/>
    </row>
    <row r="88" spans="1:11" x14ac:dyDescent="0.2">
      <c r="A88" s="8" t="s">
        <v>212</v>
      </c>
      <c r="B88" s="4">
        <v>85</v>
      </c>
      <c r="C88" s="103">
        <v>8969435.3599999994</v>
      </c>
      <c r="D88" s="113">
        <v>14448040</v>
      </c>
      <c r="E88" s="113">
        <v>22517869.34</v>
      </c>
      <c r="F88" s="121"/>
      <c r="H88" s="112">
        <v>810005099.35000002</v>
      </c>
      <c r="K88" s="121">
        <v>652530548.89999998</v>
      </c>
    </row>
    <row r="89" spans="1:11" x14ac:dyDescent="0.2">
      <c r="A89" s="9" t="s">
        <v>46</v>
      </c>
      <c r="B89" s="4">
        <v>86</v>
      </c>
      <c r="C89" s="166">
        <f>C79+C85+C86+C88</f>
        <v>61741546.18</v>
      </c>
      <c r="D89" s="166">
        <f>D79+D85+D86+D88</f>
        <v>93036164.150000006</v>
      </c>
      <c r="E89" s="166">
        <f>E79+E85+E86+E88</f>
        <v>102530081.02000001</v>
      </c>
      <c r="F89" s="166">
        <f>F79+F85+F86+F88</f>
        <v>0</v>
      </c>
      <c r="H89" s="78">
        <f>H79+H85+H86+H88</f>
        <v>1090005099.3499999</v>
      </c>
      <c r="K89" s="78">
        <v>881630487.74000001</v>
      </c>
    </row>
    <row r="90" spans="1:11" x14ac:dyDescent="0.2">
      <c r="A90" s="9" t="s">
        <v>47</v>
      </c>
      <c r="B90" s="4">
        <v>87</v>
      </c>
      <c r="C90" s="166">
        <f>C75+C89</f>
        <v>171869026.56</v>
      </c>
      <c r="D90" s="166">
        <f>D75+D89</f>
        <v>212220837.75</v>
      </c>
      <c r="E90" s="166">
        <f>E75+E89</f>
        <v>242700511.27000001</v>
      </c>
      <c r="F90" s="166">
        <f>F75+F89</f>
        <v>0</v>
      </c>
      <c r="H90" s="78">
        <f>H75+H89</f>
        <v>1796146614.8099999</v>
      </c>
      <c r="K90" s="78">
        <v>2124270728.3500001</v>
      </c>
    </row>
  </sheetData>
  <protectedRanges>
    <protectedRange sqref="H3:H20 C3:F20" name="区域1"/>
    <protectedRange sqref="H22:H24 C22:F24" name="区域2"/>
    <protectedRange sqref="H26:H28 C26:F28" name="区域3"/>
    <protectedRange sqref="H30 C30:F30" name="区域4"/>
    <protectedRange sqref="H32:H34 C32:F34" name="区域5"/>
    <protectedRange sqref="H36:H39 C36:F39" name="区域6"/>
    <protectedRange sqref="H41:H43 C41:F43" name="区域7"/>
    <protectedRange sqref="H48:H63 C48:F63" name="区域8"/>
    <protectedRange sqref="H65:H71 C65:F71" name="区域9"/>
    <protectedRange sqref="H73:H74 C73:F74" name="区域10"/>
    <protectedRange sqref="H76:H78 C76:F78" name="区域11"/>
    <protectedRange sqref="H80:H88 C80:F88" name="区域12"/>
  </protectedRanges>
  <mergeCells count="4">
    <mergeCell ref="A1:F1"/>
    <mergeCell ref="I2:J2"/>
    <mergeCell ref="I47:J47"/>
    <mergeCell ref="B2:E2"/>
  </mergeCells>
  <phoneticPr fontId="1" type="noConversion"/>
  <dataValidations xWindow="405" yWindow="203" count="2">
    <dataValidation type="list" allowBlank="1" showInputMessage="1" showErrorMessage="1" sqref="H3">
      <formula1>"Jan-2011,Feb-2011,Mar-2011,Apr-2011,May-2011,Jun-2011,Jul-2011,Aug-2011,Sep-2011,Oct-2011,Nov-2011,Dec-2011"</formula1>
    </dataValidation>
    <dataValidation type="list" allowBlank="1" showErrorMessage="1" sqref="C3:F3">
      <formula1>"2005/12/31,2006/12/31,2007/12/31,2008/12/31,2009/12/31,2010/12/31,2011/12/31,2012/12/31"</formula1>
    </dataValidation>
  </dataValidations>
  <printOptions horizontalCentered="1" verticalCentered="1"/>
  <pageMargins left="0.19685039370078741" right="0.39370078740157483" top="0.98425196850393704" bottom="0.98425196850393704" header="0.51181102362204722" footer="0.31496062992125984"/>
  <pageSetup paperSize="9" firstPageNumber="4294963532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P53"/>
  <sheetViews>
    <sheetView showOutlineSymbols="0" zoomScaleNormal="100" workbookViewId="0">
      <pane ySplit="3" topLeftCell="A4" activePane="bottomLeft" state="frozen"/>
      <selection pane="bottomLeft" activeCell="J11" sqref="J11"/>
    </sheetView>
  </sheetViews>
  <sheetFormatPr defaultRowHeight="12" x14ac:dyDescent="0.15"/>
  <cols>
    <col min="1" max="1" width="40.125" style="30" bestFit="1" customWidth="1"/>
    <col min="2" max="2" width="5" style="30" bestFit="1" customWidth="1"/>
    <col min="3" max="3" width="13" style="30" bestFit="1" customWidth="1"/>
    <col min="4" max="4" width="15" style="30" bestFit="1" customWidth="1"/>
    <col min="5" max="5" width="15" style="53" bestFit="1" customWidth="1"/>
    <col min="6" max="6" width="13" style="30" customWidth="1"/>
    <col min="7" max="7" width="0" style="45" hidden="1" customWidth="1"/>
    <col min="8" max="8" width="8.5" style="45" hidden="1" customWidth="1"/>
    <col min="9" max="10" width="9" style="45"/>
    <col min="11" max="11" width="15" style="45" hidden="1" customWidth="1"/>
    <col min="12" max="12" width="9" style="45"/>
    <col min="13" max="13" width="18" style="45" hidden="1" customWidth="1"/>
    <col min="14" max="16384" width="9" style="45"/>
  </cols>
  <sheetData>
    <row r="1" spans="1:16" ht="21.75" customHeight="1" x14ac:dyDescent="0.15">
      <c r="A1" s="287" t="s">
        <v>98</v>
      </c>
      <c r="B1" s="287"/>
      <c r="C1" s="287"/>
      <c r="D1" s="287"/>
      <c r="E1" s="287"/>
      <c r="F1" s="287"/>
    </row>
    <row r="2" spans="1:16" ht="18.75" customHeight="1" x14ac:dyDescent="0.15">
      <c r="A2" s="85" t="s">
        <v>527</v>
      </c>
      <c r="B2" s="291" t="e">
        <f>#REF!</f>
        <v>#REF!</v>
      </c>
      <c r="C2" s="291"/>
      <c r="D2" s="291"/>
      <c r="E2" s="292"/>
      <c r="F2" s="6" t="s">
        <v>162</v>
      </c>
      <c r="G2" s="68">
        <f>F3</f>
        <v>41274</v>
      </c>
      <c r="H2" s="45" t="e">
        <f>VLOOKUP(F3&amp;G2,G:H,2,0)</f>
        <v>#N/A</v>
      </c>
      <c r="I2" s="30"/>
      <c r="J2" s="30"/>
      <c r="K2" s="30"/>
      <c r="L2" s="30"/>
      <c r="M2" s="68">
        <v>40664</v>
      </c>
      <c r="N2" s="30"/>
      <c r="O2" s="30"/>
      <c r="P2" s="30"/>
    </row>
    <row r="3" spans="1:16" x14ac:dyDescent="0.15">
      <c r="A3" s="46" t="s">
        <v>11</v>
      </c>
      <c r="B3" s="46" t="s">
        <v>1</v>
      </c>
      <c r="C3" s="71">
        <f>YEAR(资产负债表!C3)</f>
        <v>2009</v>
      </c>
      <c r="D3" s="71">
        <f>YEAR(资产负债表!D3)</f>
        <v>2010</v>
      </c>
      <c r="E3" s="70">
        <f>资产负债表!E3</f>
        <v>40908</v>
      </c>
      <c r="F3" s="70">
        <f>资产负债表!F3</f>
        <v>41274</v>
      </c>
      <c r="K3" s="70">
        <v>40634</v>
      </c>
    </row>
    <row r="4" spans="1:16" ht="14.85" customHeight="1" x14ac:dyDescent="0.15">
      <c r="A4" s="3" t="s">
        <v>189</v>
      </c>
      <c r="B4" s="47">
        <v>1</v>
      </c>
      <c r="C4" s="104">
        <v>189509107.61000001</v>
      </c>
      <c r="D4" s="104">
        <v>191860564.96000001</v>
      </c>
      <c r="E4" s="104">
        <v>188546962.58000001</v>
      </c>
      <c r="F4" s="123"/>
      <c r="G4" s="45" t="s">
        <v>165</v>
      </c>
      <c r="H4" s="45">
        <v>1</v>
      </c>
      <c r="K4" s="104">
        <v>1799145697.3199999</v>
      </c>
      <c r="M4" s="130">
        <v>2174544396.8699999</v>
      </c>
    </row>
    <row r="5" spans="1:16" ht="14.45" customHeight="1" x14ac:dyDescent="0.15">
      <c r="A5" s="3" t="s">
        <v>190</v>
      </c>
      <c r="B5" s="47">
        <v>2</v>
      </c>
      <c r="C5" s="105">
        <v>167603831.09999999</v>
      </c>
      <c r="D5" s="104">
        <v>165017657.66999999</v>
      </c>
      <c r="E5" s="104">
        <v>155394872.34999999</v>
      </c>
      <c r="F5" s="123"/>
      <c r="G5" s="45" t="s">
        <v>166</v>
      </c>
      <c r="H5" s="45">
        <v>2</v>
      </c>
      <c r="K5" s="104">
        <v>1656613405.0599999</v>
      </c>
      <c r="M5" s="130">
        <v>14978045.08</v>
      </c>
    </row>
    <row r="6" spans="1:16" ht="14.45" customHeight="1" x14ac:dyDescent="0.15">
      <c r="A6" s="3" t="s">
        <v>214</v>
      </c>
      <c r="B6" s="47">
        <v>3</v>
      </c>
      <c r="C6" s="105">
        <v>861787.97</v>
      </c>
      <c r="D6" s="108">
        <v>536393.07999999996</v>
      </c>
      <c r="E6" s="104">
        <v>534591.64</v>
      </c>
      <c r="F6" s="123"/>
      <c r="G6" s="45" t="s">
        <v>167</v>
      </c>
      <c r="H6" s="45">
        <v>3</v>
      </c>
      <c r="J6" s="69"/>
      <c r="K6" s="104">
        <v>2222590.77</v>
      </c>
      <c r="M6" s="131"/>
    </row>
    <row r="7" spans="1:16" ht="14.85" customHeight="1" x14ac:dyDescent="0.15">
      <c r="A7" s="3" t="s">
        <v>200</v>
      </c>
      <c r="B7" s="47">
        <v>4</v>
      </c>
      <c r="C7" s="167">
        <f>C4-C5-C6</f>
        <v>21043488.540000021</v>
      </c>
      <c r="D7" s="167">
        <f>D4-D5-D6</f>
        <v>26306514.210000023</v>
      </c>
      <c r="E7" s="168">
        <f>E4-E5-E6</f>
        <v>32617498.590000018</v>
      </c>
      <c r="F7" s="168">
        <f>F4-F5-F6</f>
        <v>0</v>
      </c>
      <c r="G7" s="45" t="s">
        <v>168</v>
      </c>
      <c r="H7" s="45">
        <v>4</v>
      </c>
      <c r="K7" s="95">
        <v>140309701.48999998</v>
      </c>
      <c r="M7" s="132">
        <v>2189522441.9499998</v>
      </c>
    </row>
    <row r="8" spans="1:16" ht="14.45" customHeight="1" x14ac:dyDescent="0.2">
      <c r="A8" s="3" t="s">
        <v>215</v>
      </c>
      <c r="B8" s="47">
        <v>5</v>
      </c>
      <c r="C8" s="105">
        <v>15948.72</v>
      </c>
      <c r="D8" s="117"/>
      <c r="E8" s="95">
        <v>303760.68</v>
      </c>
      <c r="F8" s="95"/>
      <c r="G8" s="45" t="s">
        <v>169</v>
      </c>
      <c r="H8" s="45">
        <v>5</v>
      </c>
      <c r="K8" s="95"/>
      <c r="M8" s="130">
        <v>2160199641.1599998</v>
      </c>
    </row>
    <row r="9" spans="1:16" ht="14.45" customHeight="1" x14ac:dyDescent="0.15">
      <c r="A9" s="3" t="s">
        <v>267</v>
      </c>
      <c r="B9" s="47">
        <v>6</v>
      </c>
      <c r="C9" s="96"/>
      <c r="D9" s="96"/>
      <c r="E9" s="95"/>
      <c r="F9" s="95"/>
      <c r="G9" s="45" t="s">
        <v>170</v>
      </c>
      <c r="H9" s="45">
        <v>6</v>
      </c>
      <c r="K9" s="95"/>
      <c r="M9" s="130">
        <v>10621596.130000001</v>
      </c>
    </row>
    <row r="10" spans="1:16" ht="14.85" customHeight="1" x14ac:dyDescent="0.2">
      <c r="A10" s="3" t="s">
        <v>268</v>
      </c>
      <c r="B10" s="47">
        <v>7</v>
      </c>
      <c r="C10" s="105">
        <v>4025582.84</v>
      </c>
      <c r="D10" s="108">
        <v>6270113.7800000003</v>
      </c>
      <c r="E10" s="117">
        <v>9318462.7699999996</v>
      </c>
      <c r="F10" s="124"/>
      <c r="G10" s="45" t="s">
        <v>171</v>
      </c>
      <c r="H10" s="45">
        <v>7</v>
      </c>
      <c r="K10" s="105">
        <v>315794.27</v>
      </c>
      <c r="M10" s="130">
        <v>17764217.949999999</v>
      </c>
    </row>
    <row r="11" spans="1:16" ht="14.45" customHeight="1" x14ac:dyDescent="0.2">
      <c r="A11" s="3" t="s">
        <v>269</v>
      </c>
      <c r="B11" s="47">
        <v>8</v>
      </c>
      <c r="C11" s="105">
        <v>3429785.58</v>
      </c>
      <c r="D11" s="108">
        <v>3652657.26</v>
      </c>
      <c r="E11" s="117">
        <v>6062627.8200000003</v>
      </c>
      <c r="F11" s="124"/>
      <c r="G11" s="45" t="s">
        <v>172</v>
      </c>
      <c r="H11" s="45">
        <v>8</v>
      </c>
      <c r="K11" s="105">
        <v>8682885.1300000008</v>
      </c>
      <c r="M11" s="131">
        <v>812456.87</v>
      </c>
    </row>
    <row r="12" spans="1:16" ht="14.45" customHeight="1" x14ac:dyDescent="0.2">
      <c r="A12" s="63" t="s">
        <v>187</v>
      </c>
      <c r="B12" s="47">
        <v>9</v>
      </c>
      <c r="C12" s="105">
        <v>1194803.45</v>
      </c>
      <c r="D12" s="108">
        <v>2646689.86</v>
      </c>
      <c r="E12" s="117">
        <v>4871071.42</v>
      </c>
      <c r="F12" s="124"/>
      <c r="G12" s="45" t="s">
        <v>173</v>
      </c>
      <c r="H12" s="45">
        <v>9</v>
      </c>
      <c r="K12" s="105">
        <v>29550295.66</v>
      </c>
      <c r="M12" s="132">
        <v>2189397912.1099997</v>
      </c>
    </row>
    <row r="13" spans="1:16" ht="14.45" customHeight="1" x14ac:dyDescent="0.15">
      <c r="A13" s="63" t="s">
        <v>270</v>
      </c>
      <c r="B13" s="47"/>
      <c r="C13" s="96"/>
      <c r="D13" s="96"/>
      <c r="E13" s="96"/>
      <c r="F13" s="96"/>
      <c r="G13" s="45" t="s">
        <v>174</v>
      </c>
      <c r="H13" s="45">
        <v>10</v>
      </c>
      <c r="K13" s="96"/>
      <c r="M13" s="132">
        <v>124529.84000015259</v>
      </c>
    </row>
    <row r="14" spans="1:16" ht="14.45" customHeight="1" x14ac:dyDescent="0.15">
      <c r="A14" s="3" t="s">
        <v>271</v>
      </c>
      <c r="B14" s="47"/>
      <c r="C14" s="96"/>
      <c r="D14" s="96"/>
      <c r="E14" s="96"/>
      <c r="F14" s="96"/>
      <c r="G14" s="45" t="s">
        <v>175</v>
      </c>
      <c r="H14" s="45">
        <v>11</v>
      </c>
      <c r="K14" s="96"/>
      <c r="M14" s="133"/>
    </row>
    <row r="15" spans="1:16" ht="14.45" customHeight="1" x14ac:dyDescent="0.15">
      <c r="A15" s="45" t="s">
        <v>272</v>
      </c>
      <c r="B15" s="47"/>
      <c r="C15" s="96"/>
      <c r="D15" s="96"/>
      <c r="E15" s="96"/>
      <c r="F15" s="96"/>
      <c r="G15" s="45" t="s">
        <v>176</v>
      </c>
      <c r="H15" s="45">
        <v>12</v>
      </c>
      <c r="K15" s="96"/>
      <c r="M15" s="133"/>
    </row>
    <row r="16" spans="1:16" ht="14.85" customHeight="1" x14ac:dyDescent="0.15">
      <c r="A16" s="3" t="s">
        <v>191</v>
      </c>
      <c r="B16" s="47">
        <v>10</v>
      </c>
      <c r="C16" s="167">
        <f>C7+C8-C9-C10-C11-C12-C13+C14+C15</f>
        <v>12409265.390000021</v>
      </c>
      <c r="D16" s="167">
        <f>D7+D8-D9-D11-D10-D12-D13+D14+D15</f>
        <v>13737053.310000025</v>
      </c>
      <c r="E16" s="167">
        <f>E7+E8-E9-E10-E11-E12-E13+E14+E15</f>
        <v>12669097.260000018</v>
      </c>
      <c r="F16" s="167">
        <f>F7+F8-F9-F10-F11-F12-F13+F14+F15</f>
        <v>0</v>
      </c>
      <c r="K16" s="96">
        <v>101760726.42999998</v>
      </c>
      <c r="M16" s="133"/>
    </row>
    <row r="17" spans="1:13" ht="14.45" customHeight="1" x14ac:dyDescent="0.15">
      <c r="A17" s="3" t="s">
        <v>273</v>
      </c>
      <c r="B17" s="47">
        <v>12</v>
      </c>
      <c r="C17" s="105"/>
      <c r="D17" s="96"/>
      <c r="E17" s="105"/>
      <c r="F17" s="96"/>
      <c r="K17" s="96"/>
      <c r="M17" s="133"/>
    </row>
    <row r="18" spans="1:13" ht="14.85" customHeight="1" x14ac:dyDescent="0.15">
      <c r="A18" s="3" t="s">
        <v>274</v>
      </c>
      <c r="B18" s="47">
        <v>13</v>
      </c>
      <c r="C18" s="105">
        <v>10000</v>
      </c>
      <c r="D18" s="108"/>
      <c r="E18" s="105"/>
      <c r="F18" s="124"/>
      <c r="K18" s="96"/>
      <c r="M18" s="133"/>
    </row>
    <row r="19" spans="1:13" ht="14.45" customHeight="1" x14ac:dyDescent="0.2">
      <c r="A19" s="3" t="s">
        <v>275</v>
      </c>
      <c r="B19" s="47">
        <v>14</v>
      </c>
      <c r="C19" s="105">
        <v>10900</v>
      </c>
      <c r="D19" s="117">
        <v>10890</v>
      </c>
      <c r="E19" s="105">
        <v>10541.43</v>
      </c>
      <c r="F19" s="124"/>
      <c r="K19" s="105"/>
      <c r="M19" s="133"/>
    </row>
    <row r="20" spans="1:13" ht="14.45" customHeight="1" x14ac:dyDescent="0.15">
      <c r="A20" s="3" t="s">
        <v>186</v>
      </c>
      <c r="B20" s="47">
        <v>15</v>
      </c>
      <c r="C20" s="167">
        <f>C16+C17+C18-C19</f>
        <v>12408365.390000021</v>
      </c>
      <c r="D20" s="167">
        <f>D16+D17+D18-D19</f>
        <v>13726163.310000025</v>
      </c>
      <c r="E20" s="167">
        <f>E16+E17+E18-E19</f>
        <v>12658555.830000019</v>
      </c>
      <c r="F20" s="167">
        <f>F16+F17+F18-F19</f>
        <v>0</v>
      </c>
      <c r="K20" s="96">
        <v>101760726.42999998</v>
      </c>
      <c r="M20" s="132">
        <v>0</v>
      </c>
    </row>
    <row r="21" spans="1:13" ht="14.85" customHeight="1" x14ac:dyDescent="0.15">
      <c r="A21" s="3" t="s">
        <v>276</v>
      </c>
      <c r="B21" s="47">
        <v>16</v>
      </c>
      <c r="C21" s="105">
        <v>3102091.35</v>
      </c>
      <c r="D21" s="108">
        <v>3431545.34</v>
      </c>
      <c r="E21" s="108">
        <v>3164638.96</v>
      </c>
      <c r="F21" s="108">
        <f>F20*0.25</f>
        <v>0</v>
      </c>
      <c r="K21" s="105"/>
      <c r="M21" s="130">
        <v>77327672.069999993</v>
      </c>
    </row>
    <row r="22" spans="1:13" ht="14.45" customHeight="1" x14ac:dyDescent="0.15">
      <c r="A22" s="3" t="s">
        <v>181</v>
      </c>
      <c r="B22" s="47">
        <v>17</v>
      </c>
      <c r="C22" s="96">
        <f>C20-C21</f>
        <v>9306274.0400000215</v>
      </c>
      <c r="D22" s="96">
        <f>D20-D21</f>
        <v>10294617.970000025</v>
      </c>
      <c r="E22" s="96">
        <f>E20-E21</f>
        <v>9493916.8700000197</v>
      </c>
      <c r="F22" s="96">
        <f>F20-F21</f>
        <v>0</v>
      </c>
      <c r="K22" s="96">
        <v>101760726.42999998</v>
      </c>
      <c r="M22" s="133"/>
    </row>
    <row r="23" spans="1:13" s="50" customFormat="1" ht="14.45" customHeight="1" x14ac:dyDescent="0.2">
      <c r="A23" s="48" t="s">
        <v>99</v>
      </c>
      <c r="B23" s="49" t="s">
        <v>99</v>
      </c>
      <c r="C23" s="33"/>
      <c r="D23" s="33"/>
      <c r="E23" s="33"/>
      <c r="F23" s="33"/>
      <c r="M23" s="134"/>
    </row>
    <row r="24" spans="1:13" ht="14.45" customHeight="1" x14ac:dyDescent="0.2">
      <c r="A24" s="3" t="s">
        <v>100</v>
      </c>
      <c r="B24" s="47">
        <v>18</v>
      </c>
      <c r="C24" s="4"/>
      <c r="D24" s="5"/>
      <c r="E24" s="5"/>
      <c r="F24" s="5"/>
      <c r="M24" s="132">
        <v>77327672.069999993</v>
      </c>
    </row>
    <row r="25" spans="1:13" ht="14.85" customHeight="1" x14ac:dyDescent="0.2">
      <c r="A25" s="3" t="s">
        <v>101</v>
      </c>
      <c r="B25" s="47">
        <v>19</v>
      </c>
      <c r="C25" s="4"/>
      <c r="D25" s="5"/>
      <c r="E25" s="5"/>
      <c r="F25" s="5"/>
      <c r="M25" s="132">
        <v>-77327672.069999993</v>
      </c>
    </row>
    <row r="26" spans="1:13" ht="14.45" customHeight="1" x14ac:dyDescent="0.2">
      <c r="A26" s="3" t="s">
        <v>102</v>
      </c>
      <c r="B26" s="47">
        <v>20</v>
      </c>
      <c r="C26" s="32"/>
      <c r="D26" s="32"/>
      <c r="E26" s="32"/>
      <c r="F26" s="32"/>
      <c r="M26" s="133"/>
    </row>
    <row r="27" spans="1:13" ht="14.45" customHeight="1" x14ac:dyDescent="0.2">
      <c r="A27" s="3" t="s">
        <v>103</v>
      </c>
      <c r="B27" s="47">
        <v>21</v>
      </c>
      <c r="C27" s="4"/>
      <c r="D27" s="5"/>
      <c r="E27" s="5"/>
      <c r="F27" s="5"/>
      <c r="M27" s="133"/>
    </row>
    <row r="28" spans="1:13" ht="14.45" customHeight="1" x14ac:dyDescent="0.2">
      <c r="A28" s="3" t="s">
        <v>104</v>
      </c>
      <c r="B28" s="47">
        <v>22</v>
      </c>
      <c r="C28" s="4"/>
      <c r="D28" s="5"/>
      <c r="E28" s="5"/>
      <c r="F28" s="5"/>
      <c r="M28" s="131">
        <v>198000000</v>
      </c>
    </row>
    <row r="29" spans="1:13" ht="14.45" customHeight="1" x14ac:dyDescent="0.2">
      <c r="A29" s="3" t="s">
        <v>105</v>
      </c>
      <c r="B29" s="47">
        <v>23</v>
      </c>
      <c r="C29" s="4"/>
      <c r="D29" s="5"/>
      <c r="E29" s="5"/>
      <c r="F29" s="5"/>
      <c r="M29" s="133"/>
    </row>
    <row r="30" spans="1:13" ht="14.45" customHeight="1" x14ac:dyDescent="0.2">
      <c r="A30" s="3" t="s">
        <v>106</v>
      </c>
      <c r="B30" s="47">
        <v>24</v>
      </c>
      <c r="C30" s="4"/>
      <c r="D30" s="5"/>
      <c r="E30" s="5"/>
      <c r="F30" s="5"/>
      <c r="M30" s="132">
        <v>198000000</v>
      </c>
    </row>
    <row r="31" spans="1:13" ht="14.45" customHeight="1" x14ac:dyDescent="0.2">
      <c r="A31" s="3" t="s">
        <v>107</v>
      </c>
      <c r="B31" s="47">
        <v>25</v>
      </c>
      <c r="C31" s="4"/>
      <c r="D31" s="5"/>
      <c r="E31" s="5"/>
      <c r="F31" s="5"/>
      <c r="M31" s="131"/>
    </row>
    <row r="32" spans="1:13" ht="14.85" customHeight="1" x14ac:dyDescent="0.2">
      <c r="A32" s="3" t="s">
        <v>108</v>
      </c>
      <c r="B32" s="47">
        <v>26</v>
      </c>
      <c r="C32" s="4"/>
      <c r="D32" s="5"/>
      <c r="E32" s="5"/>
      <c r="F32" s="5"/>
      <c r="M32" s="133"/>
    </row>
    <row r="33" spans="1:13" ht="14.45" customHeight="1" x14ac:dyDescent="0.2">
      <c r="A33" s="3" t="s">
        <v>109</v>
      </c>
      <c r="B33" s="47">
        <v>27</v>
      </c>
      <c r="C33" s="4"/>
      <c r="D33" s="5"/>
      <c r="E33" s="5"/>
      <c r="F33" s="5"/>
      <c r="M33" s="133"/>
    </row>
    <row r="34" spans="1:13" ht="14.85" customHeight="1" x14ac:dyDescent="0.2">
      <c r="A34" s="3" t="s">
        <v>110</v>
      </c>
      <c r="B34" s="47">
        <v>28</v>
      </c>
      <c r="C34" s="4"/>
      <c r="D34" s="5"/>
      <c r="E34" s="5"/>
      <c r="F34" s="5"/>
      <c r="M34" s="133"/>
    </row>
    <row r="35" spans="1:13" ht="14.45" customHeight="1" x14ac:dyDescent="0.2">
      <c r="A35" s="3" t="s">
        <v>111</v>
      </c>
      <c r="B35" s="47">
        <v>29</v>
      </c>
      <c r="C35" s="4"/>
      <c r="D35" s="5"/>
      <c r="E35" s="5"/>
      <c r="F35" s="5"/>
      <c r="M35" s="131">
        <v>17796854</v>
      </c>
    </row>
    <row r="36" spans="1:13" ht="14.85" customHeight="1" x14ac:dyDescent="0.2">
      <c r="A36" s="3" t="s">
        <v>112</v>
      </c>
      <c r="B36" s="47">
        <v>30</v>
      </c>
      <c r="C36" s="4"/>
      <c r="D36" s="5"/>
      <c r="E36" s="5"/>
      <c r="F36" s="5"/>
      <c r="M36" s="131"/>
    </row>
    <row r="37" spans="1:13" ht="14.45" customHeight="1" x14ac:dyDescent="0.2">
      <c r="A37" s="3" t="s">
        <v>113</v>
      </c>
      <c r="B37" s="47">
        <v>31</v>
      </c>
      <c r="C37" s="4"/>
      <c r="D37" s="5"/>
      <c r="E37" s="5"/>
      <c r="F37" s="5"/>
      <c r="M37" s="132">
        <v>17796854</v>
      </c>
    </row>
    <row r="38" spans="1:13" ht="14.45" customHeight="1" x14ac:dyDescent="0.2">
      <c r="A38" s="3" t="s">
        <v>114</v>
      </c>
      <c r="B38" s="47">
        <v>32</v>
      </c>
      <c r="C38" s="4"/>
      <c r="D38" s="5"/>
      <c r="E38" s="5"/>
      <c r="F38" s="5"/>
      <c r="M38" s="132">
        <v>180203146</v>
      </c>
    </row>
    <row r="39" spans="1:13" ht="14.85" customHeight="1" x14ac:dyDescent="0.2">
      <c r="A39" s="3" t="s">
        <v>115</v>
      </c>
      <c r="B39" s="47">
        <v>33</v>
      </c>
      <c r="C39" s="4"/>
      <c r="D39" s="5"/>
      <c r="E39" s="5"/>
      <c r="F39" s="5"/>
      <c r="M39" s="133"/>
    </row>
    <row r="40" spans="1:13" ht="14.45" customHeight="1" x14ac:dyDescent="0.2">
      <c r="A40" s="3" t="s">
        <v>116</v>
      </c>
      <c r="B40" s="47">
        <v>34</v>
      </c>
      <c r="C40" s="4"/>
      <c r="D40" s="5"/>
      <c r="E40" s="5"/>
      <c r="F40" s="5"/>
      <c r="M40" s="132">
        <v>103000003.77000016</v>
      </c>
    </row>
    <row r="41" spans="1:13" ht="14.45" customHeight="1" x14ac:dyDescent="0.2">
      <c r="A41" s="3" t="s">
        <v>117</v>
      </c>
      <c r="B41" s="47">
        <v>35</v>
      </c>
      <c r="C41" s="5"/>
      <c r="D41" s="5"/>
      <c r="E41" s="5"/>
      <c r="F41" s="5"/>
      <c r="M41" s="130">
        <v>578564788.74000001</v>
      </c>
    </row>
    <row r="42" spans="1:13" ht="14.45" customHeight="1" x14ac:dyDescent="0.2">
      <c r="A42" s="3" t="s">
        <v>118</v>
      </c>
      <c r="B42" s="47">
        <v>36</v>
      </c>
      <c r="C42" s="4"/>
      <c r="D42" s="5"/>
      <c r="E42" s="5"/>
      <c r="F42" s="5"/>
      <c r="M42" s="132">
        <v>681564792.51000023</v>
      </c>
    </row>
    <row r="43" spans="1:13" ht="14.45" customHeight="1" x14ac:dyDescent="0.2">
      <c r="A43" s="3" t="s">
        <v>119</v>
      </c>
      <c r="B43" s="47">
        <v>37</v>
      </c>
      <c r="C43" s="4"/>
      <c r="D43" s="5"/>
      <c r="E43" s="5"/>
      <c r="F43" s="5"/>
    </row>
    <row r="44" spans="1:13" ht="14.45" customHeight="1" x14ac:dyDescent="0.2">
      <c r="A44" s="3" t="s">
        <v>120</v>
      </c>
      <c r="B44" s="47">
        <v>38</v>
      </c>
      <c r="C44" s="4"/>
      <c r="D44" s="5"/>
      <c r="E44" s="5"/>
      <c r="F44" s="5"/>
    </row>
    <row r="45" spans="1:13" ht="14.45" customHeight="1" x14ac:dyDescent="0.2">
      <c r="A45" s="3" t="s">
        <v>121</v>
      </c>
      <c r="B45" s="47">
        <v>39</v>
      </c>
      <c r="C45" s="4"/>
      <c r="D45" s="5"/>
      <c r="E45" s="5"/>
      <c r="F45" s="5"/>
    </row>
    <row r="46" spans="1:13" ht="12.75" x14ac:dyDescent="0.2">
      <c r="A46" s="3" t="s">
        <v>122</v>
      </c>
      <c r="B46" s="47">
        <v>40</v>
      </c>
      <c r="C46" s="4"/>
      <c r="D46" s="5"/>
      <c r="E46" s="5"/>
      <c r="F46" s="5"/>
    </row>
    <row r="47" spans="1:13" ht="14.45" customHeight="1" x14ac:dyDescent="0.2">
      <c r="A47" s="3" t="s">
        <v>123</v>
      </c>
      <c r="B47" s="47">
        <v>41</v>
      </c>
      <c r="C47" s="4"/>
      <c r="D47" s="5"/>
      <c r="E47" s="5"/>
      <c r="F47" s="5"/>
    </row>
    <row r="48" spans="1:13" ht="14.45" customHeight="1" x14ac:dyDescent="0.2">
      <c r="A48" s="3" t="s">
        <v>124</v>
      </c>
      <c r="B48" s="47">
        <v>42</v>
      </c>
      <c r="C48" s="4"/>
      <c r="D48" s="5"/>
      <c r="E48" s="5"/>
      <c r="F48" s="5"/>
    </row>
    <row r="49" spans="1:6" ht="14.85" customHeight="1" thickBot="1" x14ac:dyDescent="0.25">
      <c r="A49" s="3" t="s">
        <v>125</v>
      </c>
      <c r="B49" s="47">
        <v>43</v>
      </c>
      <c r="C49" s="4"/>
      <c r="D49" s="5"/>
      <c r="E49" s="5"/>
      <c r="F49" s="5"/>
    </row>
    <row r="50" spans="1:6" ht="18.600000000000001" customHeight="1" thickTop="1" x14ac:dyDescent="0.15">
      <c r="A50" s="15"/>
      <c r="B50" s="15"/>
      <c r="C50" s="15"/>
      <c r="D50" s="15"/>
      <c r="E50" s="51"/>
      <c r="F50" s="52"/>
    </row>
    <row r="53" spans="1:6" x14ac:dyDescent="0.15">
      <c r="E53" s="30"/>
    </row>
  </sheetData>
  <mergeCells count="2">
    <mergeCell ref="A1:F1"/>
    <mergeCell ref="B2:E2"/>
  </mergeCells>
  <phoneticPr fontId="1" type="noConversion"/>
  <pageMargins left="0.47222222222222221" right="0.47222222222222221" top="0.98402777777777772" bottom="0.98402777777777772" header="0.5" footer="0.5"/>
  <pageSetup paperSize="9" firstPageNumber="4294951724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42"/>
  <sheetViews>
    <sheetView zoomScale="115" zoomScaleNormal="115" workbookViewId="0">
      <pane ySplit="2" topLeftCell="A3" activePane="bottomLeft" state="frozen"/>
      <selection pane="bottomLeft" activeCell="H10" sqref="H10"/>
    </sheetView>
  </sheetViews>
  <sheetFormatPr defaultRowHeight="12.75" x14ac:dyDescent="0.2"/>
  <cols>
    <col min="1" max="1" width="60.5" style="29" bestFit="1" customWidth="1"/>
    <col min="2" max="2" width="3.625" style="29" customWidth="1"/>
    <col min="3" max="3" width="13.875" style="40" bestFit="1" customWidth="1"/>
    <col min="4" max="6" width="13.875" style="29" bestFit="1" customWidth="1"/>
    <col min="7" max="7" width="0" style="29" hidden="1" customWidth="1"/>
    <col min="8" max="9" width="9" style="29"/>
    <col min="10" max="10" width="13.875" style="29" hidden="1" customWidth="1"/>
    <col min="11" max="11" width="9" style="29"/>
    <col min="12" max="12" width="13" style="29" hidden="1" customWidth="1"/>
    <col min="13" max="16384" width="9" style="29"/>
  </cols>
  <sheetData>
    <row r="1" spans="1:12" s="41" customFormat="1" ht="18.75" x14ac:dyDescent="0.3">
      <c r="A1" s="287" t="s">
        <v>163</v>
      </c>
      <c r="B1" s="287"/>
      <c r="C1" s="287"/>
      <c r="D1" s="287"/>
      <c r="E1" s="287"/>
      <c r="F1" s="287"/>
      <c r="G1" s="43"/>
    </row>
    <row r="2" spans="1:12" x14ac:dyDescent="0.2">
      <c r="A2" s="34" t="s">
        <v>11</v>
      </c>
      <c r="B2" s="34" t="s">
        <v>49</v>
      </c>
      <c r="C2" s="71">
        <f>YEAR(资产负债表!C3)</f>
        <v>2009</v>
      </c>
      <c r="D2" s="71">
        <f>YEAR(资产负债表!D3)</f>
        <v>2010</v>
      </c>
      <c r="E2" s="70">
        <f>资产负债表!E3</f>
        <v>40908</v>
      </c>
      <c r="F2" s="70">
        <f>资产负债表!F3</f>
        <v>41274</v>
      </c>
      <c r="J2" s="70">
        <v>40634</v>
      </c>
      <c r="L2" s="125">
        <v>40664</v>
      </c>
    </row>
    <row r="3" spans="1:12" x14ac:dyDescent="0.2">
      <c r="A3" s="35" t="s">
        <v>27</v>
      </c>
      <c r="B3" s="39">
        <v>1</v>
      </c>
      <c r="C3" s="36"/>
      <c r="D3" s="37"/>
      <c r="E3" s="31"/>
      <c r="G3" s="31">
        <f>MONTH(F2)</f>
        <v>12</v>
      </c>
    </row>
    <row r="4" spans="1:12" x14ac:dyDescent="0.2">
      <c r="A4" s="34" t="s">
        <v>277</v>
      </c>
      <c r="B4" s="39">
        <v>2</v>
      </c>
      <c r="C4" s="36">
        <v>181335117.94</v>
      </c>
      <c r="D4" s="109">
        <v>189534924.21000001</v>
      </c>
      <c r="E4" s="114">
        <v>202846808.30000001</v>
      </c>
      <c r="F4" s="98"/>
      <c r="J4" s="97">
        <v>2099855407.5</v>
      </c>
      <c r="L4" s="126">
        <v>2174544396.8699999</v>
      </c>
    </row>
    <row r="5" spans="1:12" x14ac:dyDescent="0.2">
      <c r="A5" s="34" t="s">
        <v>278</v>
      </c>
      <c r="B5" s="39">
        <v>3</v>
      </c>
      <c r="C5" s="36">
        <v>31487558.82</v>
      </c>
      <c r="D5" s="38">
        <v>31550705.100000001</v>
      </c>
      <c r="E5" s="36">
        <v>32135608.960000001</v>
      </c>
      <c r="F5" s="98"/>
      <c r="J5" s="84"/>
      <c r="L5" s="126">
        <v>14978045.08</v>
      </c>
    </row>
    <row r="6" spans="1:12" x14ac:dyDescent="0.2">
      <c r="A6" s="34" t="s">
        <v>279</v>
      </c>
      <c r="B6" s="39">
        <v>4</v>
      </c>
      <c r="C6" s="106">
        <v>495591.37</v>
      </c>
      <c r="D6" s="109">
        <v>46469</v>
      </c>
      <c r="E6" s="114">
        <v>486030.84</v>
      </c>
      <c r="F6" s="114"/>
      <c r="J6" s="114">
        <v>23868062.52</v>
      </c>
      <c r="L6" s="127"/>
    </row>
    <row r="7" spans="1:12" x14ac:dyDescent="0.2">
      <c r="A7" s="42" t="s">
        <v>39</v>
      </c>
      <c r="B7" s="39">
        <v>5</v>
      </c>
      <c r="C7" s="119">
        <f>SUM(C4:C6)</f>
        <v>213318268.13</v>
      </c>
      <c r="D7" s="119">
        <f>SUM(D4:D6)</f>
        <v>221132098.31</v>
      </c>
      <c r="E7" s="119">
        <f>SUM(E4:E6)</f>
        <v>235468448.10000002</v>
      </c>
      <c r="F7" s="119">
        <f>SUM(F4:F6)</f>
        <v>0</v>
      </c>
      <c r="G7" s="36">
        <f>SUM(G4:G6)</f>
        <v>0</v>
      </c>
      <c r="J7" s="119">
        <v>2123723470.02</v>
      </c>
      <c r="L7" s="128">
        <v>2189522441.9499998</v>
      </c>
    </row>
    <row r="8" spans="1:12" x14ac:dyDescent="0.2">
      <c r="A8" s="34" t="s">
        <v>280</v>
      </c>
      <c r="B8" s="39">
        <v>6</v>
      </c>
      <c r="C8" s="106">
        <v>155265244.58000001</v>
      </c>
      <c r="D8" s="109">
        <v>159283720.59999999</v>
      </c>
      <c r="E8" s="114">
        <v>164579463.61000001</v>
      </c>
      <c r="F8" s="98"/>
      <c r="J8" s="97">
        <v>1836399026.25</v>
      </c>
      <c r="L8" s="126">
        <v>2160199641.1599998</v>
      </c>
    </row>
    <row r="9" spans="1:12" x14ac:dyDescent="0.2">
      <c r="A9" s="34" t="s">
        <v>281</v>
      </c>
      <c r="B9" s="39">
        <v>7</v>
      </c>
      <c r="C9" s="106">
        <v>12020042.720000001</v>
      </c>
      <c r="D9" s="109">
        <v>12839474.970000001</v>
      </c>
      <c r="E9" s="114">
        <v>14413297.119999999</v>
      </c>
      <c r="F9" s="98"/>
      <c r="J9" s="98">
        <v>3653543.39</v>
      </c>
      <c r="L9" s="126">
        <v>10621596.130000001</v>
      </c>
    </row>
    <row r="10" spans="1:12" x14ac:dyDescent="0.2">
      <c r="A10" s="34" t="s">
        <v>327</v>
      </c>
      <c r="B10" s="39">
        <v>8</v>
      </c>
      <c r="C10" s="106">
        <v>36684051.200000003</v>
      </c>
      <c r="D10" s="109">
        <v>36762034.409999996</v>
      </c>
      <c r="E10" s="114">
        <v>37171316.359999999</v>
      </c>
      <c r="F10" s="98"/>
      <c r="J10" s="98">
        <v>36882802.670000002</v>
      </c>
      <c r="L10" s="126">
        <v>17764217.949999999</v>
      </c>
    </row>
    <row r="11" spans="1:12" x14ac:dyDescent="0.2">
      <c r="A11" s="34" t="s">
        <v>282</v>
      </c>
      <c r="B11" s="39">
        <v>9</v>
      </c>
      <c r="C11" s="106">
        <v>5556131.2999999998</v>
      </c>
      <c r="D11" s="110">
        <v>8401895.1699999999</v>
      </c>
      <c r="E11" s="114">
        <v>14783943.289999999</v>
      </c>
      <c r="F11" s="97"/>
      <c r="J11" s="98">
        <v>17228015.059999999</v>
      </c>
      <c r="L11" s="127">
        <v>812456.87</v>
      </c>
    </row>
    <row r="12" spans="1:12" x14ac:dyDescent="0.2">
      <c r="A12" s="42" t="s">
        <v>31</v>
      </c>
      <c r="B12" s="39">
        <v>10</v>
      </c>
      <c r="C12" s="119">
        <f>SUM(C8:C11)</f>
        <v>209525469.80000001</v>
      </c>
      <c r="D12" s="119">
        <f>SUM(D8:D11)</f>
        <v>217287125.14999998</v>
      </c>
      <c r="E12" s="119">
        <f>SUM(E8:E11)</f>
        <v>230948020.38000003</v>
      </c>
      <c r="F12" s="119">
        <f>SUM(F8:F11)</f>
        <v>0</v>
      </c>
      <c r="J12" s="119">
        <v>1894163387.3700001</v>
      </c>
      <c r="L12" s="128">
        <v>2189397912.1099997</v>
      </c>
    </row>
    <row r="13" spans="1:12" x14ac:dyDescent="0.2">
      <c r="A13" s="42" t="s">
        <v>29</v>
      </c>
      <c r="B13" s="39">
        <v>11</v>
      </c>
      <c r="C13" s="119">
        <f>C7-C12</f>
        <v>3792798.3299999833</v>
      </c>
      <c r="D13" s="119">
        <f>D7-D12</f>
        <v>3844973.1600000262</v>
      </c>
      <c r="E13" s="119">
        <f>E7-E12</f>
        <v>4520427.7199999988</v>
      </c>
      <c r="F13" s="119">
        <f>F7-F12</f>
        <v>0</v>
      </c>
      <c r="J13" s="119">
        <v>229560082.64999986</v>
      </c>
      <c r="L13" s="128">
        <v>124529.84000015259</v>
      </c>
    </row>
    <row r="14" spans="1:12" x14ac:dyDescent="0.2">
      <c r="A14" s="35" t="s">
        <v>30</v>
      </c>
      <c r="B14" s="39">
        <v>12</v>
      </c>
      <c r="C14" s="36"/>
      <c r="D14" s="38"/>
      <c r="E14" s="36"/>
      <c r="F14" s="84"/>
      <c r="J14" s="84"/>
      <c r="L14" s="129"/>
    </row>
    <row r="15" spans="1:12" x14ac:dyDescent="0.2">
      <c r="A15" s="34" t="s">
        <v>283</v>
      </c>
      <c r="B15" s="39">
        <v>13</v>
      </c>
      <c r="C15" s="36"/>
      <c r="D15" s="38"/>
      <c r="E15" s="36"/>
      <c r="F15" s="84"/>
      <c r="J15" s="84"/>
      <c r="L15" s="129"/>
    </row>
    <row r="16" spans="1:12" x14ac:dyDescent="0.2">
      <c r="A16" s="34" t="s">
        <v>284</v>
      </c>
      <c r="B16" s="39">
        <v>14</v>
      </c>
      <c r="C16" s="36"/>
      <c r="D16" s="38"/>
      <c r="E16" s="36"/>
      <c r="F16" s="84"/>
      <c r="J16" s="84"/>
      <c r="L16" s="129"/>
    </row>
    <row r="17" spans="1:12" x14ac:dyDescent="0.2">
      <c r="A17" s="34" t="s">
        <v>285</v>
      </c>
      <c r="B17" s="39">
        <v>15</v>
      </c>
      <c r="C17" s="36"/>
      <c r="D17" s="38"/>
      <c r="E17" s="36"/>
      <c r="F17" s="84"/>
      <c r="J17" s="84"/>
      <c r="L17" s="129"/>
    </row>
    <row r="18" spans="1:12" x14ac:dyDescent="0.2">
      <c r="A18" s="34" t="s">
        <v>286</v>
      </c>
      <c r="B18" s="39">
        <v>16</v>
      </c>
      <c r="C18" s="36"/>
      <c r="D18" s="38"/>
      <c r="E18" s="36"/>
      <c r="F18" s="84"/>
      <c r="J18" s="84"/>
      <c r="L18" s="129"/>
    </row>
    <row r="19" spans="1:12" x14ac:dyDescent="0.2">
      <c r="A19" s="34" t="s">
        <v>287</v>
      </c>
      <c r="B19" s="39">
        <v>17</v>
      </c>
      <c r="C19" s="36">
        <v>15011361</v>
      </c>
      <c r="D19" s="38">
        <v>62410000</v>
      </c>
      <c r="E19" s="114">
        <v>20860000</v>
      </c>
      <c r="F19" s="84"/>
      <c r="J19" s="84"/>
      <c r="L19" s="129"/>
    </row>
    <row r="20" spans="1:12" x14ac:dyDescent="0.2">
      <c r="A20" s="42" t="s">
        <v>28</v>
      </c>
      <c r="B20" s="39">
        <v>18</v>
      </c>
      <c r="C20" s="36">
        <f>SUM(C15:C19)</f>
        <v>15011361</v>
      </c>
      <c r="D20" s="36">
        <f>SUM(D15:D19)</f>
        <v>62410000</v>
      </c>
      <c r="E20" s="36">
        <f>SUM(E15:E19)</f>
        <v>20860000</v>
      </c>
      <c r="F20" s="36">
        <f>SUM(F15:F19)</f>
        <v>0</v>
      </c>
      <c r="J20" s="36">
        <v>0</v>
      </c>
      <c r="L20" s="128">
        <v>0</v>
      </c>
    </row>
    <row r="21" spans="1:12" x14ac:dyDescent="0.2">
      <c r="A21" s="34" t="s">
        <v>288</v>
      </c>
      <c r="B21" s="39">
        <v>19</v>
      </c>
      <c r="C21" s="106">
        <v>46035369.259999998</v>
      </c>
      <c r="D21" s="109">
        <v>59384820.109999999</v>
      </c>
      <c r="E21" s="118">
        <v>20847476.84</v>
      </c>
      <c r="F21" s="98"/>
      <c r="J21" s="98">
        <v>113763541.31</v>
      </c>
      <c r="L21" s="126">
        <v>77327672.069999993</v>
      </c>
    </row>
    <row r="22" spans="1:12" x14ac:dyDescent="0.2">
      <c r="A22" s="34" t="s">
        <v>289</v>
      </c>
      <c r="B22" s="39">
        <v>20</v>
      </c>
      <c r="C22" s="36">
        <v>550000</v>
      </c>
      <c r="D22" s="38"/>
      <c r="E22" s="114"/>
      <c r="F22" s="98"/>
      <c r="J22" s="84"/>
      <c r="L22" s="129"/>
    </row>
    <row r="23" spans="1:12" x14ac:dyDescent="0.2">
      <c r="A23" s="34" t="s">
        <v>290</v>
      </c>
      <c r="B23" s="39">
        <v>21</v>
      </c>
      <c r="C23" s="36"/>
      <c r="D23" s="38"/>
      <c r="E23" s="36"/>
      <c r="F23" s="84"/>
      <c r="J23" s="84"/>
      <c r="L23" s="129"/>
    </row>
    <row r="24" spans="1:12" x14ac:dyDescent="0.2">
      <c r="A24" s="42" t="s">
        <v>37</v>
      </c>
      <c r="B24" s="39">
        <v>22</v>
      </c>
      <c r="C24" s="119">
        <f>SUM(C21:C23)</f>
        <v>46585369.259999998</v>
      </c>
      <c r="D24" s="119">
        <f>SUM(D21:D23)</f>
        <v>59384820.109999999</v>
      </c>
      <c r="E24" s="119">
        <f>SUM(E21:E23)</f>
        <v>20847476.84</v>
      </c>
      <c r="F24" s="119">
        <f>SUM(F21:F23)</f>
        <v>0</v>
      </c>
      <c r="J24" s="119">
        <v>113763541.31</v>
      </c>
      <c r="L24" s="128">
        <v>77327672.069999993</v>
      </c>
    </row>
    <row r="25" spans="1:12" x14ac:dyDescent="0.2">
      <c r="A25" s="42" t="s">
        <v>32</v>
      </c>
      <c r="B25" s="39">
        <v>23</v>
      </c>
      <c r="C25" s="119">
        <f>C20-C24</f>
        <v>-31574008.259999998</v>
      </c>
      <c r="D25" s="119">
        <f>D20-D24</f>
        <v>3025179.8900000006</v>
      </c>
      <c r="E25" s="119">
        <f>E20-E24</f>
        <v>12523.160000000149</v>
      </c>
      <c r="F25" s="119">
        <f>F20-F24</f>
        <v>0</v>
      </c>
      <c r="J25" s="119">
        <v>-113763541.31</v>
      </c>
      <c r="L25" s="128">
        <v>-77327672.069999993</v>
      </c>
    </row>
    <row r="26" spans="1:12" x14ac:dyDescent="0.2">
      <c r="A26" s="35" t="s">
        <v>33</v>
      </c>
      <c r="B26" s="39">
        <v>24</v>
      </c>
      <c r="C26" s="36"/>
      <c r="D26" s="38"/>
      <c r="E26" s="36"/>
      <c r="F26" s="84"/>
      <c r="J26" s="84"/>
      <c r="L26" s="129"/>
    </row>
    <row r="27" spans="1:12" x14ac:dyDescent="0.2">
      <c r="A27" s="34" t="s">
        <v>291</v>
      </c>
      <c r="B27" s="39">
        <v>25</v>
      </c>
      <c r="C27" s="36"/>
      <c r="D27" s="38"/>
      <c r="E27" s="36"/>
      <c r="F27" s="84"/>
      <c r="J27" s="84"/>
      <c r="L27" s="129"/>
    </row>
    <row r="28" spans="1:12" x14ac:dyDescent="0.2">
      <c r="A28" s="34" t="s">
        <v>292</v>
      </c>
      <c r="B28" s="39">
        <v>26</v>
      </c>
      <c r="C28" s="106">
        <v>30000000</v>
      </c>
      <c r="D28" s="109">
        <v>4000000</v>
      </c>
      <c r="E28" s="114">
        <v>50000000</v>
      </c>
      <c r="F28" s="97"/>
      <c r="J28" s="97">
        <v>-72000000</v>
      </c>
      <c r="L28" s="127">
        <v>198000000</v>
      </c>
    </row>
    <row r="29" spans="1:12" x14ac:dyDescent="0.2">
      <c r="A29" s="34" t="s">
        <v>293</v>
      </c>
      <c r="B29" s="39">
        <v>27</v>
      </c>
      <c r="C29" s="106"/>
      <c r="D29" s="109">
        <v>31551.73</v>
      </c>
      <c r="E29" s="36">
        <v>142028.49</v>
      </c>
      <c r="F29" s="84"/>
      <c r="J29" s="84"/>
      <c r="L29" s="129"/>
    </row>
    <row r="30" spans="1:12" x14ac:dyDescent="0.2">
      <c r="A30" s="42" t="s">
        <v>28</v>
      </c>
      <c r="B30" s="39">
        <v>28</v>
      </c>
      <c r="C30" s="119">
        <f>SUM(C27:C29)</f>
        <v>30000000</v>
      </c>
      <c r="D30" s="119">
        <f>SUM(D27:D29)</f>
        <v>4031551.73</v>
      </c>
      <c r="E30" s="119">
        <f>SUM(E27:E29)</f>
        <v>50142028.490000002</v>
      </c>
      <c r="F30" s="119">
        <f>SUM(F27:F29)</f>
        <v>0</v>
      </c>
      <c r="J30" s="119">
        <v>-72000000</v>
      </c>
      <c r="L30" s="128">
        <v>198000000</v>
      </c>
    </row>
    <row r="31" spans="1:12" x14ac:dyDescent="0.2">
      <c r="A31" s="34" t="s">
        <v>294</v>
      </c>
      <c r="B31" s="39">
        <v>29</v>
      </c>
      <c r="C31" s="106"/>
      <c r="D31" s="111"/>
      <c r="E31" s="114">
        <v>45000000</v>
      </c>
      <c r="F31" s="97"/>
      <c r="J31" s="97"/>
      <c r="L31" s="127"/>
    </row>
    <row r="32" spans="1:12" x14ac:dyDescent="0.2">
      <c r="A32" s="34" t="s">
        <v>315</v>
      </c>
      <c r="B32" s="39">
        <v>30</v>
      </c>
      <c r="C32" s="36"/>
      <c r="D32" s="36"/>
      <c r="E32" s="36"/>
      <c r="F32" s="84"/>
      <c r="J32" s="84"/>
      <c r="L32" s="129"/>
    </row>
    <row r="33" spans="1:12" x14ac:dyDescent="0.2">
      <c r="A33" s="34" t="s">
        <v>313</v>
      </c>
      <c r="B33" s="39">
        <v>31</v>
      </c>
      <c r="C33" s="36">
        <v>1077510.97</v>
      </c>
      <c r="D33" s="36">
        <v>2527184.6</v>
      </c>
      <c r="E33" s="31">
        <v>4971532.76</v>
      </c>
      <c r="F33" s="84"/>
      <c r="J33" s="84"/>
      <c r="L33" s="129"/>
    </row>
    <row r="34" spans="1:12" x14ac:dyDescent="0.2">
      <c r="A34" s="34" t="s">
        <v>314</v>
      </c>
      <c r="B34" s="39">
        <v>32</v>
      </c>
      <c r="C34" s="36"/>
      <c r="D34" s="36"/>
      <c r="E34" s="31"/>
      <c r="F34" s="84"/>
      <c r="J34" s="84"/>
      <c r="L34" s="129"/>
    </row>
    <row r="35" spans="1:12" x14ac:dyDescent="0.2">
      <c r="A35" s="34" t="s">
        <v>295</v>
      </c>
      <c r="B35" s="39">
        <v>33</v>
      </c>
      <c r="C35" s="106"/>
      <c r="D35" s="111"/>
      <c r="E35" s="114"/>
      <c r="F35" s="97"/>
      <c r="J35" s="97">
        <v>29550295.66</v>
      </c>
      <c r="L35" s="127">
        <v>17796854</v>
      </c>
    </row>
    <row r="36" spans="1:12" x14ac:dyDescent="0.2">
      <c r="A36" s="34" t="s">
        <v>296</v>
      </c>
      <c r="B36" s="39">
        <v>34</v>
      </c>
      <c r="C36" s="106"/>
      <c r="D36" s="111">
        <v>140199.22</v>
      </c>
      <c r="E36" s="36">
        <v>41567.15</v>
      </c>
      <c r="F36" s="97"/>
      <c r="J36" s="97"/>
      <c r="L36" s="127"/>
    </row>
    <row r="37" spans="1:12" x14ac:dyDescent="0.2">
      <c r="A37" s="42" t="s">
        <v>31</v>
      </c>
      <c r="B37" s="39">
        <v>35</v>
      </c>
      <c r="C37" s="119">
        <f>SUM(C31:C36)</f>
        <v>1077510.97</v>
      </c>
      <c r="D37" s="119">
        <f>SUM(D31:D36)</f>
        <v>2667383.8200000003</v>
      </c>
      <c r="E37" s="119">
        <f>SUM(E31:E36)</f>
        <v>50013099.909999996</v>
      </c>
      <c r="F37" s="119">
        <f>SUM(F31:F36)</f>
        <v>0</v>
      </c>
      <c r="J37" s="119">
        <v>29550295.66</v>
      </c>
      <c r="L37" s="128">
        <v>17796854</v>
      </c>
    </row>
    <row r="38" spans="1:12" x14ac:dyDescent="0.2">
      <c r="A38" s="42" t="s">
        <v>38</v>
      </c>
      <c r="B38" s="39">
        <v>36</v>
      </c>
      <c r="C38" s="119">
        <f>C30-C37</f>
        <v>28922489.030000001</v>
      </c>
      <c r="D38" s="119">
        <f>D30-D37</f>
        <v>1364167.9099999997</v>
      </c>
      <c r="E38" s="119">
        <f>E30-E37</f>
        <v>128928.58000000566</v>
      </c>
      <c r="F38" s="119">
        <f>F30-F37</f>
        <v>0</v>
      </c>
      <c r="J38" s="119">
        <v>-101550295.66</v>
      </c>
      <c r="L38" s="128">
        <v>180203146</v>
      </c>
    </row>
    <row r="39" spans="1:12" x14ac:dyDescent="0.2">
      <c r="A39" s="35" t="s">
        <v>34</v>
      </c>
      <c r="B39" s="39">
        <v>37</v>
      </c>
      <c r="C39" s="36"/>
      <c r="D39" s="38"/>
      <c r="E39" s="36"/>
      <c r="F39" s="84"/>
      <c r="J39" s="84"/>
      <c r="L39" s="129"/>
    </row>
    <row r="40" spans="1:12" x14ac:dyDescent="0.2">
      <c r="A40" s="35" t="s">
        <v>35</v>
      </c>
      <c r="B40" s="39">
        <v>38</v>
      </c>
      <c r="C40" s="38">
        <f>C38+C25+C13</f>
        <v>1141279.0999999866</v>
      </c>
      <c r="D40" s="38">
        <f>D38+D25+D13</f>
        <v>8234320.960000027</v>
      </c>
      <c r="E40" s="38">
        <f>E38+E25+E13</f>
        <v>4661879.4600000046</v>
      </c>
      <c r="F40" s="38">
        <f>F38+F25+F13</f>
        <v>0</v>
      </c>
      <c r="J40" s="38">
        <v>14246245.679999858</v>
      </c>
      <c r="L40" s="128">
        <v>103000003.77000016</v>
      </c>
    </row>
    <row r="41" spans="1:12" x14ac:dyDescent="0.2">
      <c r="A41" s="34" t="s">
        <v>297</v>
      </c>
      <c r="B41" s="39">
        <v>39</v>
      </c>
      <c r="C41" s="109"/>
      <c r="D41" s="109">
        <f>资产负债表!C5</f>
        <v>4121126.14</v>
      </c>
      <c r="E41" s="109">
        <f>资产负债表!D5</f>
        <v>12355447.1</v>
      </c>
      <c r="F41" s="109">
        <f>资产负债表!E5</f>
        <v>17017326.559999999</v>
      </c>
      <c r="J41" s="109">
        <v>270564888.88</v>
      </c>
      <c r="L41" s="126">
        <v>578564788.74000001</v>
      </c>
    </row>
    <row r="42" spans="1:12" x14ac:dyDescent="0.2">
      <c r="A42" s="35" t="s">
        <v>36</v>
      </c>
      <c r="B42" s="39">
        <v>40</v>
      </c>
      <c r="C42" s="36">
        <f>SUM(C40:C41)</f>
        <v>1141279.0999999866</v>
      </c>
      <c r="D42" s="36">
        <f>SUM(D40:D41)</f>
        <v>12355447.100000028</v>
      </c>
      <c r="E42" s="36">
        <f>SUM(E40:E41)</f>
        <v>17017326.560000002</v>
      </c>
      <c r="F42" s="36">
        <f>SUM(F40:F41)</f>
        <v>17017326.559999999</v>
      </c>
      <c r="J42" s="36">
        <v>284811134.55999982</v>
      </c>
      <c r="L42" s="128">
        <v>681564792.51000023</v>
      </c>
    </row>
  </sheetData>
  <mergeCells count="1">
    <mergeCell ref="A1:F1"/>
  </mergeCells>
  <phoneticPr fontId="1" type="noConversion"/>
  <pageMargins left="0" right="0" top="0.98425196850393704" bottom="0.98425196850393704" header="0.51181102362204722" footer="0.51181102362204722"/>
  <pageSetup paperSize="9" scale="7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378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6" sqref="K16"/>
    </sheetView>
  </sheetViews>
  <sheetFormatPr defaultRowHeight="12" x14ac:dyDescent="0.15"/>
  <cols>
    <col min="1" max="1" width="16.75" style="45" bestFit="1" customWidth="1"/>
    <col min="2" max="2" width="20" style="45" bestFit="1" customWidth="1"/>
    <col min="3" max="3" width="37.5" style="45" customWidth="1"/>
    <col min="4" max="4" width="6.875" style="45" bestFit="1" customWidth="1"/>
    <col min="5" max="5" width="7.625" style="45" bestFit="1" customWidth="1"/>
    <col min="6" max="6" width="8.5" style="45" bestFit="1" customWidth="1"/>
    <col min="7" max="7" width="7.5" style="45" bestFit="1" customWidth="1"/>
    <col min="8" max="8" width="7.625" style="45" bestFit="1" customWidth="1"/>
    <col min="9" max="9" width="7.625" style="22" bestFit="1" customWidth="1"/>
    <col min="10" max="10" width="6.875" style="22" bestFit="1" customWidth="1"/>
    <col min="11" max="11" width="5" style="22" bestFit="1" customWidth="1"/>
    <col min="12" max="12" width="5.75" style="22" customWidth="1"/>
    <col min="13" max="15" width="5" style="22" bestFit="1" customWidth="1"/>
    <col min="16" max="18" width="4.75" style="22" bestFit="1" customWidth="1"/>
    <col min="19" max="16384" width="9" style="45"/>
  </cols>
  <sheetData>
    <row r="1" spans="1:18" ht="14.25" customHeight="1" x14ac:dyDescent="0.15">
      <c r="A1" s="296" t="s">
        <v>158</v>
      </c>
      <c r="B1" s="296"/>
      <c r="C1" s="296"/>
      <c r="D1" s="296"/>
      <c r="E1" s="296"/>
      <c r="F1" s="296"/>
      <c r="G1" s="296"/>
      <c r="H1" s="296"/>
    </row>
    <row r="2" spans="1:18" ht="14.25" customHeight="1" x14ac:dyDescent="0.15">
      <c r="A2" s="296"/>
      <c r="B2" s="296"/>
      <c r="C2" s="296"/>
      <c r="D2" s="296"/>
      <c r="E2" s="296"/>
      <c r="F2" s="296"/>
      <c r="G2" s="296"/>
      <c r="H2" s="296"/>
      <c r="I2" s="61"/>
      <c r="J2" s="61"/>
      <c r="K2" s="61"/>
      <c r="L2" s="61"/>
      <c r="M2" s="61"/>
      <c r="N2" s="297"/>
      <c r="O2" s="297"/>
      <c r="P2" s="297"/>
      <c r="Q2" s="297"/>
      <c r="R2" s="297"/>
    </row>
    <row r="3" spans="1:18" x14ac:dyDescent="0.15">
      <c r="A3" s="62" t="s">
        <v>157</v>
      </c>
      <c r="B3" s="62" t="s">
        <v>142</v>
      </c>
      <c r="C3" s="59"/>
      <c r="D3" s="59" t="s">
        <v>143</v>
      </c>
      <c r="E3" s="59" t="s">
        <v>144</v>
      </c>
      <c r="F3" s="59" t="s">
        <v>145</v>
      </c>
      <c r="G3" s="59" t="s">
        <v>146</v>
      </c>
      <c r="H3" s="59" t="s">
        <v>147</v>
      </c>
    </row>
    <row r="4" spans="1:18" x14ac:dyDescent="0.15">
      <c r="A4" s="296" t="s">
        <v>139</v>
      </c>
      <c r="B4" s="54" t="s">
        <v>126</v>
      </c>
      <c r="C4" s="54" t="str">
        <f>$A$4&amp;B4</f>
        <v>金属加工机械制造业一、获利能力分析</v>
      </c>
      <c r="D4" s="56"/>
      <c r="E4" s="56"/>
      <c r="F4" s="56"/>
      <c r="G4" s="56"/>
      <c r="H4" s="56"/>
      <c r="I4" s="65"/>
      <c r="J4" s="65"/>
      <c r="K4" s="65"/>
      <c r="L4" s="55"/>
      <c r="M4" s="65"/>
      <c r="N4" s="65"/>
      <c r="O4" s="65"/>
      <c r="P4" s="65"/>
      <c r="Q4" s="65"/>
      <c r="R4" s="65"/>
    </row>
    <row r="5" spans="1:18" x14ac:dyDescent="0.15">
      <c r="A5" s="296"/>
      <c r="B5" s="54" t="s">
        <v>54</v>
      </c>
      <c r="C5" s="54" t="str">
        <f t="shared" ref="C5:C27" si="0">$A$4&amp;B5</f>
        <v>金属加工机械制造业股东权益报酬率</v>
      </c>
      <c r="D5" s="57">
        <v>0.13200000000000001</v>
      </c>
      <c r="E5" s="57">
        <v>9.1999999999999998E-2</v>
      </c>
      <c r="F5" s="57">
        <v>4.2000000000000003E-2</v>
      </c>
      <c r="G5" s="57">
        <v>-5.0000000000000001E-3</v>
      </c>
      <c r="H5" s="57">
        <v>-7.5999999999999998E-2</v>
      </c>
      <c r="I5" s="66"/>
      <c r="J5" s="66"/>
      <c r="K5" s="66"/>
      <c r="L5" s="55"/>
      <c r="M5" s="66"/>
      <c r="N5" s="66"/>
      <c r="O5" s="66"/>
      <c r="P5" s="66"/>
      <c r="Q5" s="66"/>
      <c r="R5" s="66"/>
    </row>
    <row r="6" spans="1:18" x14ac:dyDescent="0.15">
      <c r="A6" s="296"/>
      <c r="B6" s="54" t="s">
        <v>55</v>
      </c>
      <c r="C6" s="54" t="str">
        <f t="shared" si="0"/>
        <v>金属加工机械制造业总资产利润率</v>
      </c>
      <c r="D6" s="57">
        <v>6.8000000000000005E-2</v>
      </c>
      <c r="E6" s="57">
        <v>4.7E-2</v>
      </c>
      <c r="F6" s="57">
        <v>2.7E-2</v>
      </c>
      <c r="G6" s="57">
        <v>-2E-3</v>
      </c>
      <c r="H6" s="57">
        <v>-3.4000000000000002E-2</v>
      </c>
      <c r="I6" s="66"/>
      <c r="J6" s="66"/>
      <c r="K6" s="66"/>
      <c r="L6" s="55"/>
      <c r="M6" s="66"/>
      <c r="N6" s="66"/>
      <c r="O6" s="66"/>
      <c r="P6" s="66"/>
      <c r="Q6" s="66"/>
      <c r="R6" s="66"/>
    </row>
    <row r="7" spans="1:18" x14ac:dyDescent="0.15">
      <c r="A7" s="296"/>
      <c r="B7" s="54" t="s">
        <v>308</v>
      </c>
      <c r="C7" s="54" t="str">
        <f t="shared" si="0"/>
        <v>金属加工机械制造业主营业务利润率</v>
      </c>
      <c r="D7" s="57">
        <v>0.254</v>
      </c>
      <c r="E7" s="57">
        <v>0.223</v>
      </c>
      <c r="F7" s="57">
        <v>0.129</v>
      </c>
      <c r="G7" s="57">
        <v>9.9000000000000005E-2</v>
      </c>
      <c r="H7" s="57">
        <v>2.1999999999999999E-2</v>
      </c>
      <c r="I7" s="66"/>
      <c r="J7" s="66"/>
      <c r="K7" s="66"/>
      <c r="L7" s="55"/>
      <c r="M7" s="66"/>
      <c r="N7" s="66"/>
      <c r="O7" s="66"/>
      <c r="P7" s="66"/>
      <c r="Q7" s="66"/>
      <c r="R7" s="66"/>
    </row>
    <row r="8" spans="1:18" x14ac:dyDescent="0.15">
      <c r="A8" s="296"/>
      <c r="B8" s="54" t="s">
        <v>129</v>
      </c>
      <c r="C8" s="54" t="str">
        <f t="shared" si="0"/>
        <v>金属加工机械制造业盈余现金保障倍数</v>
      </c>
      <c r="D8" s="58">
        <v>9.6</v>
      </c>
      <c r="E8" s="58">
        <v>4.5</v>
      </c>
      <c r="F8" s="58">
        <v>1.3</v>
      </c>
      <c r="G8" s="58">
        <v>-0.7</v>
      </c>
      <c r="H8" s="58">
        <v>-3.5</v>
      </c>
      <c r="I8" s="67"/>
      <c r="J8" s="67"/>
      <c r="K8" s="67"/>
      <c r="L8" s="55"/>
      <c r="M8" s="67"/>
      <c r="N8" s="67"/>
      <c r="O8" s="67"/>
      <c r="P8" s="67"/>
      <c r="Q8" s="67"/>
      <c r="R8" s="67"/>
    </row>
    <row r="9" spans="1:18" x14ac:dyDescent="0.15">
      <c r="A9" s="296"/>
      <c r="B9" s="54" t="s">
        <v>58</v>
      </c>
      <c r="C9" s="54" t="str">
        <f t="shared" si="0"/>
        <v>金属加工机械制造业成本费用利润率</v>
      </c>
      <c r="D9" s="57">
        <v>0.115</v>
      </c>
      <c r="E9" s="57">
        <v>7.8E-2</v>
      </c>
      <c r="F9" s="57">
        <v>3.4000000000000002E-2</v>
      </c>
      <c r="G9" s="57">
        <v>-2.9000000000000001E-2</v>
      </c>
      <c r="H9" s="57">
        <v>-0.111</v>
      </c>
      <c r="I9" s="66"/>
      <c r="J9" s="66"/>
      <c r="K9" s="66"/>
      <c r="L9" s="55"/>
      <c r="M9" s="66"/>
      <c r="N9" s="66"/>
      <c r="O9" s="66"/>
      <c r="P9" s="66"/>
      <c r="Q9" s="66"/>
      <c r="R9" s="66"/>
    </row>
    <row r="10" spans="1:18" x14ac:dyDescent="0.15">
      <c r="A10" s="296"/>
      <c r="B10" s="54" t="s">
        <v>51</v>
      </c>
      <c r="C10" s="54" t="str">
        <f t="shared" si="0"/>
        <v>金属加工机械制造业资本收益率</v>
      </c>
      <c r="D10" s="57">
        <v>0.13100000000000001</v>
      </c>
      <c r="E10" s="57">
        <v>9.2999999999999999E-2</v>
      </c>
      <c r="F10" s="57">
        <v>4.2999999999999997E-2</v>
      </c>
      <c r="G10" s="57">
        <v>-2.5000000000000001E-2</v>
      </c>
      <c r="H10" s="57">
        <v>-0.113</v>
      </c>
      <c r="I10" s="66"/>
      <c r="J10" s="66"/>
      <c r="K10" s="66"/>
      <c r="L10" s="55"/>
      <c r="M10" s="66"/>
      <c r="N10" s="66"/>
      <c r="O10" s="66"/>
      <c r="P10" s="66"/>
      <c r="Q10" s="66"/>
      <c r="R10" s="66"/>
    </row>
    <row r="11" spans="1:18" x14ac:dyDescent="0.15">
      <c r="A11" s="296"/>
      <c r="B11" s="54" t="s">
        <v>134</v>
      </c>
      <c r="C11" s="54" t="str">
        <f t="shared" si="0"/>
        <v>金属加工机械制造业二、营运能力分析</v>
      </c>
      <c r="D11" s="57"/>
      <c r="E11" s="57"/>
      <c r="F11" s="57"/>
      <c r="G11" s="57"/>
      <c r="H11" s="57"/>
      <c r="I11" s="66"/>
      <c r="J11" s="66"/>
      <c r="K11" s="66"/>
      <c r="L11" s="55"/>
      <c r="M11" s="66"/>
      <c r="N11" s="66"/>
      <c r="O11" s="66"/>
      <c r="P11" s="66"/>
      <c r="Q11" s="66"/>
      <c r="R11" s="66"/>
    </row>
    <row r="12" spans="1:18" x14ac:dyDescent="0.15">
      <c r="A12" s="296"/>
      <c r="B12" s="54" t="s">
        <v>65</v>
      </c>
      <c r="C12" s="54" t="str">
        <f t="shared" si="0"/>
        <v>金属加工机械制造业总资产周转率</v>
      </c>
      <c r="D12" s="58">
        <v>1.6</v>
      </c>
      <c r="E12" s="58">
        <v>1</v>
      </c>
      <c r="F12" s="58">
        <v>0.7</v>
      </c>
      <c r="G12" s="58">
        <v>0.5</v>
      </c>
      <c r="H12" s="58">
        <v>0.3</v>
      </c>
      <c r="I12" s="66"/>
      <c r="J12" s="67"/>
      <c r="K12" s="67"/>
      <c r="L12" s="67"/>
      <c r="M12" s="67"/>
      <c r="N12" s="67"/>
      <c r="O12" s="67"/>
      <c r="P12" s="66"/>
      <c r="Q12" s="66"/>
      <c r="R12" s="66"/>
    </row>
    <row r="13" spans="1:18" x14ac:dyDescent="0.15">
      <c r="A13" s="296"/>
      <c r="B13" s="54" t="s">
        <v>67</v>
      </c>
      <c r="C13" s="54" t="str">
        <f t="shared" si="0"/>
        <v>金属加工机械制造业应收账款周转率</v>
      </c>
      <c r="D13" s="58">
        <v>13.8</v>
      </c>
      <c r="E13" s="58">
        <v>8.4</v>
      </c>
      <c r="F13" s="58">
        <v>4.5</v>
      </c>
      <c r="G13" s="58">
        <v>3.3</v>
      </c>
      <c r="H13" s="58">
        <v>2.4</v>
      </c>
      <c r="I13" s="67"/>
      <c r="J13" s="67"/>
      <c r="K13" s="67"/>
      <c r="L13" s="67"/>
      <c r="M13" s="67"/>
      <c r="N13" s="67"/>
      <c r="O13" s="66"/>
      <c r="P13" s="66"/>
      <c r="Q13" s="66"/>
      <c r="R13" s="66"/>
    </row>
    <row r="14" spans="1:18" x14ac:dyDescent="0.15">
      <c r="A14" s="296"/>
      <c r="B14" s="54" t="s">
        <v>130</v>
      </c>
      <c r="C14" s="54" t="str">
        <f t="shared" si="0"/>
        <v>金属加工机械制造业流动资产周转率</v>
      </c>
      <c r="D14" s="58">
        <v>2.4</v>
      </c>
      <c r="E14" s="58">
        <v>1.6</v>
      </c>
      <c r="F14" s="58">
        <v>1</v>
      </c>
      <c r="G14" s="58">
        <v>0.7</v>
      </c>
      <c r="H14" s="58">
        <v>0.6</v>
      </c>
      <c r="I14" s="67"/>
      <c r="J14" s="67"/>
      <c r="K14" s="67"/>
      <c r="L14" s="67"/>
      <c r="M14" s="67"/>
      <c r="N14" s="67"/>
      <c r="O14" s="66"/>
      <c r="P14" s="66"/>
      <c r="Q14" s="66"/>
      <c r="R14" s="66"/>
    </row>
    <row r="15" spans="1:18" x14ac:dyDescent="0.15">
      <c r="A15" s="296"/>
      <c r="B15" s="59" t="s">
        <v>135</v>
      </c>
      <c r="C15" s="54" t="str">
        <f t="shared" si="0"/>
        <v>金属加工机械制造业资产现金回收率</v>
      </c>
      <c r="D15" s="57">
        <v>0.126</v>
      </c>
      <c r="E15" s="57">
        <v>8.5000000000000006E-2</v>
      </c>
      <c r="F15" s="57">
        <v>2.7E-2</v>
      </c>
      <c r="G15" s="57">
        <v>-1.9E-2</v>
      </c>
      <c r="H15" s="57">
        <v>-7.1999999999999995E-2</v>
      </c>
      <c r="I15" s="66"/>
      <c r="J15" s="66"/>
      <c r="K15" s="66"/>
      <c r="L15" s="55"/>
      <c r="M15" s="66"/>
      <c r="N15" s="66"/>
      <c r="O15" s="66"/>
      <c r="P15" s="66"/>
      <c r="Q15" s="66"/>
      <c r="R15" s="66"/>
    </row>
    <row r="16" spans="1:18" x14ac:dyDescent="0.15">
      <c r="A16" s="296"/>
      <c r="B16" s="54" t="s">
        <v>73</v>
      </c>
      <c r="C16" s="54" t="str">
        <f t="shared" si="0"/>
        <v>金属加工机械制造业存货周转率</v>
      </c>
      <c r="D16" s="58">
        <v>7</v>
      </c>
      <c r="E16" s="58">
        <v>4.5</v>
      </c>
      <c r="F16" s="58">
        <v>2.7</v>
      </c>
      <c r="G16" s="58">
        <v>2.1</v>
      </c>
      <c r="H16" s="58">
        <v>1.6</v>
      </c>
      <c r="I16" s="67"/>
      <c r="J16" s="67"/>
      <c r="K16" s="67"/>
      <c r="L16" s="55"/>
      <c r="M16" s="67"/>
      <c r="N16" s="67"/>
      <c r="O16" s="67"/>
      <c r="P16" s="67"/>
      <c r="Q16" s="67"/>
      <c r="R16" s="67"/>
    </row>
    <row r="17" spans="1:18" x14ac:dyDescent="0.15">
      <c r="A17" s="296"/>
      <c r="B17" s="54" t="s">
        <v>137</v>
      </c>
      <c r="C17" s="54" t="str">
        <f t="shared" si="0"/>
        <v>金属加工机械制造业三、短期偿债能力分析</v>
      </c>
      <c r="D17" s="57"/>
      <c r="E17" s="57"/>
      <c r="F17" s="57"/>
      <c r="G17" s="57"/>
      <c r="H17" s="57"/>
      <c r="I17" s="66"/>
      <c r="J17" s="66"/>
      <c r="K17" s="66"/>
      <c r="L17" s="55"/>
      <c r="M17" s="66"/>
      <c r="N17" s="66"/>
      <c r="O17" s="66"/>
      <c r="P17" s="66"/>
      <c r="Q17" s="66"/>
      <c r="R17" s="66"/>
    </row>
    <row r="18" spans="1:18" x14ac:dyDescent="0.15">
      <c r="A18" s="296"/>
      <c r="B18" s="54" t="s">
        <v>150</v>
      </c>
      <c r="C18" s="54" t="str">
        <f t="shared" si="0"/>
        <v>金属加工机械制造业带息负债比率</v>
      </c>
      <c r="D18" s="57">
        <v>0.17899999999999999</v>
      </c>
      <c r="E18" s="57">
        <v>0.312</v>
      </c>
      <c r="F18" s="57">
        <v>0.42199999999999999</v>
      </c>
      <c r="G18" s="57">
        <v>0.54700000000000004</v>
      </c>
      <c r="H18" s="57">
        <v>0.68700000000000006</v>
      </c>
      <c r="I18" s="66"/>
      <c r="J18" s="66"/>
      <c r="K18" s="66"/>
      <c r="L18" s="55"/>
      <c r="M18" s="66"/>
      <c r="N18" s="66"/>
      <c r="O18" s="66"/>
      <c r="P18" s="66"/>
      <c r="Q18" s="66"/>
      <c r="R18" s="66"/>
    </row>
    <row r="19" spans="1:18" x14ac:dyDescent="0.15">
      <c r="A19" s="296"/>
      <c r="B19" s="54" t="s">
        <v>60</v>
      </c>
      <c r="C19" s="54" t="str">
        <f t="shared" si="0"/>
        <v>金属加工机械制造业速动比率</v>
      </c>
      <c r="D19" s="92">
        <v>1.1319999999999999</v>
      </c>
      <c r="E19" s="92">
        <v>1.0089999999999999</v>
      </c>
      <c r="F19" s="92">
        <v>0.51900000000000002</v>
      </c>
      <c r="G19" s="92">
        <v>0.35499999999999998</v>
      </c>
      <c r="H19" s="92">
        <v>0.23400000000000001</v>
      </c>
      <c r="I19" s="66"/>
      <c r="J19" s="66"/>
      <c r="K19" s="66"/>
      <c r="L19" s="55"/>
      <c r="M19" s="66"/>
      <c r="N19" s="66"/>
      <c r="O19" s="66"/>
      <c r="P19" s="66"/>
      <c r="Q19" s="66"/>
      <c r="R19" s="66"/>
    </row>
    <row r="20" spans="1:18" x14ac:dyDescent="0.15">
      <c r="A20" s="296"/>
      <c r="B20" s="60" t="s">
        <v>148</v>
      </c>
      <c r="C20" s="54" t="str">
        <f t="shared" si="0"/>
        <v>金属加工机械制造业现金流动负债比率</v>
      </c>
      <c r="D20" s="57">
        <v>0.155</v>
      </c>
      <c r="E20" s="57">
        <v>9.6000000000000002E-2</v>
      </c>
      <c r="F20" s="57">
        <v>3.4000000000000002E-2</v>
      </c>
      <c r="G20" s="57">
        <v>-2.1000000000000001E-2</v>
      </c>
      <c r="H20" s="57">
        <v>-0.10299999999999999</v>
      </c>
      <c r="I20" s="66"/>
      <c r="J20" s="66"/>
      <c r="K20" s="66"/>
      <c r="L20" s="55"/>
      <c r="M20" s="66"/>
      <c r="N20" s="66"/>
      <c r="O20" s="66"/>
      <c r="P20" s="66"/>
      <c r="Q20" s="66"/>
      <c r="R20" s="66"/>
    </row>
    <row r="21" spans="1:18" x14ac:dyDescent="0.15">
      <c r="A21" s="296"/>
      <c r="B21" s="54" t="s">
        <v>138</v>
      </c>
      <c r="C21" s="54" t="str">
        <f t="shared" si="0"/>
        <v>金属加工机械制造业四、长期偿债能力分析</v>
      </c>
      <c r="D21" s="57"/>
      <c r="E21" s="57"/>
      <c r="F21" s="57"/>
      <c r="G21" s="57"/>
      <c r="H21" s="57"/>
      <c r="I21" s="66"/>
      <c r="J21" s="66"/>
      <c r="K21" s="66"/>
      <c r="L21" s="55"/>
      <c r="M21" s="66"/>
      <c r="N21" s="66"/>
      <c r="O21" s="66"/>
      <c r="P21" s="66"/>
      <c r="Q21" s="66"/>
      <c r="R21" s="66"/>
    </row>
    <row r="22" spans="1:18" x14ac:dyDescent="0.15">
      <c r="A22" s="296"/>
      <c r="B22" s="54" t="s">
        <v>61</v>
      </c>
      <c r="C22" s="54" t="str">
        <f t="shared" si="0"/>
        <v>金属加工机械制造业资产负债比率</v>
      </c>
      <c r="D22" s="57">
        <v>0.48299999999999998</v>
      </c>
      <c r="E22" s="57">
        <v>0.56299999999999994</v>
      </c>
      <c r="F22" s="57">
        <v>0.63200000000000001</v>
      </c>
      <c r="G22" s="57">
        <v>0.755</v>
      </c>
      <c r="H22" s="57">
        <v>0.88300000000000001</v>
      </c>
      <c r="I22" s="66"/>
      <c r="J22" s="66"/>
      <c r="K22" s="66"/>
      <c r="L22" s="55"/>
      <c r="M22" s="66"/>
      <c r="N22" s="66"/>
      <c r="O22" s="66"/>
      <c r="P22" s="66"/>
      <c r="Q22" s="66"/>
      <c r="R22" s="66"/>
    </row>
    <row r="23" spans="1:18" x14ac:dyDescent="0.15">
      <c r="A23" s="296"/>
      <c r="B23" s="54" t="s">
        <v>62</v>
      </c>
      <c r="C23" s="54" t="str">
        <f t="shared" si="0"/>
        <v>金属加工机械制造业利息保障倍数</v>
      </c>
      <c r="D23" s="58">
        <v>5.3</v>
      </c>
      <c r="E23" s="59">
        <v>3.9</v>
      </c>
      <c r="F23" s="58">
        <v>2.1</v>
      </c>
      <c r="G23" s="58">
        <v>0.7</v>
      </c>
      <c r="H23" s="58">
        <v>-1.8</v>
      </c>
      <c r="I23" s="67"/>
      <c r="J23" s="67"/>
      <c r="K23" s="67"/>
      <c r="L23" s="55"/>
      <c r="M23" s="67"/>
      <c r="N23" s="67"/>
      <c r="O23" s="67"/>
      <c r="P23" s="67"/>
      <c r="Q23" s="67"/>
      <c r="R23" s="67"/>
    </row>
    <row r="24" spans="1:18" x14ac:dyDescent="0.15">
      <c r="A24" s="296"/>
      <c r="B24" s="54" t="s">
        <v>131</v>
      </c>
      <c r="C24" s="54" t="str">
        <f t="shared" si="0"/>
        <v>金属加工机械制造业五、发展能力分析</v>
      </c>
      <c r="D24" s="57"/>
      <c r="E24" s="57"/>
      <c r="F24" s="57"/>
      <c r="G24" s="57"/>
      <c r="H24" s="57"/>
      <c r="I24" s="66"/>
      <c r="J24" s="66"/>
      <c r="K24" s="66"/>
      <c r="L24" s="55"/>
      <c r="M24" s="66"/>
      <c r="N24" s="66"/>
      <c r="O24" s="66"/>
      <c r="P24" s="66"/>
      <c r="Q24" s="66"/>
      <c r="R24" s="66"/>
    </row>
    <row r="25" spans="1:18" x14ac:dyDescent="0.15">
      <c r="A25" s="296"/>
      <c r="B25" s="54" t="s">
        <v>132</v>
      </c>
      <c r="C25" s="54" t="str">
        <f t="shared" si="0"/>
        <v>金属加工机械制造业收入增长率</v>
      </c>
      <c r="D25" s="57">
        <v>0.313</v>
      </c>
      <c r="E25" s="57">
        <v>0.245</v>
      </c>
      <c r="F25" s="57">
        <v>0.17</v>
      </c>
      <c r="G25" s="57">
        <v>6.2E-2</v>
      </c>
      <c r="H25" s="57">
        <v>-4.2999999999999997E-2</v>
      </c>
      <c r="I25" s="66"/>
      <c r="J25" s="66"/>
      <c r="K25" s="66"/>
      <c r="L25" s="55"/>
      <c r="M25" s="66"/>
      <c r="N25" s="66"/>
      <c r="O25" s="66"/>
      <c r="P25" s="66"/>
      <c r="Q25" s="66"/>
      <c r="R25" s="66"/>
    </row>
    <row r="26" spans="1:18" x14ac:dyDescent="0.15">
      <c r="A26" s="296"/>
      <c r="B26" s="59" t="s">
        <v>133</v>
      </c>
      <c r="C26" s="54" t="str">
        <f t="shared" si="0"/>
        <v>金属加工机械制造业资本累积率</v>
      </c>
      <c r="D26" s="57">
        <v>0.13100000000000001</v>
      </c>
      <c r="E26" s="57">
        <v>8.5000000000000006E-2</v>
      </c>
      <c r="F26" s="57">
        <v>3.2000000000000001E-2</v>
      </c>
      <c r="G26" s="57">
        <v>-1.2E-2</v>
      </c>
      <c r="H26" s="57">
        <v>-8.1000000000000003E-2</v>
      </c>
      <c r="I26" s="66"/>
      <c r="J26" s="66"/>
      <c r="K26" s="66"/>
      <c r="L26" s="55"/>
      <c r="M26" s="66"/>
      <c r="N26" s="66"/>
      <c r="O26" s="66"/>
      <c r="P26" s="66"/>
      <c r="Q26" s="66"/>
      <c r="R26" s="66"/>
    </row>
    <row r="27" spans="1:18" x14ac:dyDescent="0.15">
      <c r="A27" s="296"/>
      <c r="B27" s="59" t="s">
        <v>159</v>
      </c>
      <c r="C27" s="54" t="str">
        <f t="shared" si="0"/>
        <v>金属加工机械制造业总资产增长率</v>
      </c>
      <c r="D27" s="57">
        <v>0.20799999999999999</v>
      </c>
      <c r="E27" s="57">
        <v>0.157</v>
      </c>
      <c r="F27" s="57">
        <v>9.0999999999999998E-2</v>
      </c>
      <c r="G27" s="57">
        <v>-3.1E-2</v>
      </c>
      <c r="H27" s="57">
        <v>-0.112</v>
      </c>
      <c r="I27" s="66"/>
      <c r="J27" s="66"/>
      <c r="K27" s="66"/>
      <c r="L27" s="55"/>
      <c r="M27" s="66"/>
      <c r="N27" s="66"/>
      <c r="O27" s="66"/>
      <c r="P27" s="66"/>
      <c r="Q27" s="66"/>
      <c r="R27" s="66"/>
    </row>
    <row r="28" spans="1:18" x14ac:dyDescent="0.15">
      <c r="A28" s="296"/>
      <c r="B28" s="59" t="s">
        <v>310</v>
      </c>
      <c r="C28" s="54" t="str">
        <f>$A$4&amp;B28</f>
        <v>金属加工机械制造业主营业务利润增长率</v>
      </c>
      <c r="D28" s="57">
        <v>0.29299999999999998</v>
      </c>
      <c r="E28" s="57">
        <v>0.23400000000000001</v>
      </c>
      <c r="F28" s="57">
        <v>0.13300000000000001</v>
      </c>
      <c r="G28" s="57">
        <v>-8.2000000000000003E-2</v>
      </c>
      <c r="H28" s="57">
        <v>-0.17</v>
      </c>
      <c r="I28" s="66"/>
      <c r="J28" s="66"/>
      <c r="K28" s="66"/>
      <c r="L28" s="55"/>
      <c r="M28" s="66"/>
      <c r="N28" s="66"/>
      <c r="O28" s="66"/>
      <c r="P28" s="66"/>
      <c r="Q28" s="66"/>
      <c r="R28" s="66"/>
    </row>
    <row r="29" spans="1:18" x14ac:dyDescent="0.15">
      <c r="A29" s="296" t="s">
        <v>140</v>
      </c>
      <c r="B29" s="54" t="s">
        <v>126</v>
      </c>
      <c r="C29" s="54" t="str">
        <f>$A$29&amp;B29</f>
        <v>船舶制造业一、获利能力分析</v>
      </c>
      <c r="D29" s="59"/>
      <c r="E29" s="59"/>
      <c r="F29" s="59"/>
      <c r="G29" s="59"/>
      <c r="H29" s="59"/>
      <c r="L29" s="55"/>
    </row>
    <row r="30" spans="1:18" x14ac:dyDescent="0.15">
      <c r="A30" s="296"/>
      <c r="B30" s="54" t="s">
        <v>54</v>
      </c>
      <c r="C30" s="54" t="str">
        <f t="shared" ref="C30:C53" si="1">$A$29&amp;B30</f>
        <v>船舶制造业股东权益报酬率</v>
      </c>
      <c r="D30" s="57">
        <v>0.189</v>
      </c>
      <c r="E30" s="57">
        <v>0.153</v>
      </c>
      <c r="F30" s="57">
        <v>0.112</v>
      </c>
      <c r="G30" s="57">
        <v>8.3000000000000004E-2</v>
      </c>
      <c r="H30" s="57">
        <v>-7.0000000000000001E-3</v>
      </c>
      <c r="L30" s="55"/>
    </row>
    <row r="31" spans="1:18" x14ac:dyDescent="0.15">
      <c r="A31" s="296"/>
      <c r="B31" s="54" t="s">
        <v>55</v>
      </c>
      <c r="C31" s="54" t="str">
        <f t="shared" si="1"/>
        <v>船舶制造业总资产利润率</v>
      </c>
      <c r="D31" s="57">
        <v>8.5000000000000006E-2</v>
      </c>
      <c r="E31" s="57">
        <v>5.8000000000000003E-2</v>
      </c>
      <c r="F31" s="57">
        <v>0.04</v>
      </c>
      <c r="G31" s="57">
        <v>2.4E-2</v>
      </c>
      <c r="H31" s="57">
        <v>-5.0000000000000001E-3</v>
      </c>
      <c r="L31" s="55"/>
    </row>
    <row r="32" spans="1:18" x14ac:dyDescent="0.15">
      <c r="A32" s="296"/>
      <c r="B32" s="54" t="s">
        <v>308</v>
      </c>
      <c r="C32" s="54" t="str">
        <f t="shared" si="1"/>
        <v>船舶制造业主营业务利润率</v>
      </c>
      <c r="D32" s="57">
        <v>0.23</v>
      </c>
      <c r="E32" s="57">
        <v>0.17399999999999999</v>
      </c>
      <c r="F32" s="57">
        <v>6.4000000000000001E-2</v>
      </c>
      <c r="G32" s="57">
        <v>3.5999999999999997E-2</v>
      </c>
      <c r="H32" s="57">
        <v>-1.6E-2</v>
      </c>
      <c r="L32" s="55"/>
    </row>
    <row r="33" spans="1:12" x14ac:dyDescent="0.15">
      <c r="A33" s="296"/>
      <c r="B33" s="54" t="s">
        <v>129</v>
      </c>
      <c r="C33" s="54" t="str">
        <f t="shared" si="1"/>
        <v>船舶制造业盈余现金保障倍数</v>
      </c>
      <c r="D33" s="58">
        <v>17.8</v>
      </c>
      <c r="E33" s="58">
        <v>9.6999999999999993</v>
      </c>
      <c r="F33" s="58">
        <v>3</v>
      </c>
      <c r="G33" s="58">
        <v>-0.2</v>
      </c>
      <c r="H33" s="58">
        <v>-2.2999999999999998</v>
      </c>
      <c r="L33" s="55"/>
    </row>
    <row r="34" spans="1:12" x14ac:dyDescent="0.15">
      <c r="A34" s="296"/>
      <c r="B34" s="54" t="s">
        <v>58</v>
      </c>
      <c r="C34" s="54" t="str">
        <f t="shared" si="1"/>
        <v>船舶制造业成本费用利润率</v>
      </c>
      <c r="D34" s="57">
        <v>0.126</v>
      </c>
      <c r="E34" s="57">
        <v>9.2999999999999999E-2</v>
      </c>
      <c r="F34" s="57">
        <v>6.0999999999999999E-2</v>
      </c>
      <c r="G34" s="57">
        <v>2.8000000000000001E-2</v>
      </c>
      <c r="H34" s="57">
        <v>-6.6000000000000003E-2</v>
      </c>
      <c r="L34" s="55"/>
    </row>
    <row r="35" spans="1:12" x14ac:dyDescent="0.15">
      <c r="A35" s="296"/>
      <c r="B35" s="54" t="s">
        <v>51</v>
      </c>
      <c r="C35" s="54" t="str">
        <f t="shared" si="1"/>
        <v>船舶制造业资本收益率</v>
      </c>
      <c r="D35" s="57">
        <v>0.21299999999999999</v>
      </c>
      <c r="E35" s="57">
        <v>0.161</v>
      </c>
      <c r="F35" s="57">
        <v>0.11700000000000001</v>
      </c>
      <c r="G35" s="57">
        <v>4.2999999999999997E-2</v>
      </c>
      <c r="H35" s="57">
        <v>-0.02</v>
      </c>
      <c r="L35" s="55"/>
    </row>
    <row r="36" spans="1:12" x14ac:dyDescent="0.15">
      <c r="A36" s="296"/>
      <c r="B36" s="54" t="s">
        <v>134</v>
      </c>
      <c r="C36" s="54" t="str">
        <f t="shared" si="1"/>
        <v>船舶制造业二、营运能力分析</v>
      </c>
      <c r="D36" s="57"/>
      <c r="E36" s="57"/>
      <c r="F36" s="57"/>
      <c r="G36" s="57"/>
      <c r="H36" s="57"/>
      <c r="L36" s="55"/>
    </row>
    <row r="37" spans="1:12" x14ac:dyDescent="0.15">
      <c r="A37" s="296"/>
      <c r="B37" s="54" t="s">
        <v>65</v>
      </c>
      <c r="C37" s="54" t="str">
        <f t="shared" si="1"/>
        <v>船舶制造业总资产周转率</v>
      </c>
      <c r="D37" s="58">
        <v>1.4</v>
      </c>
      <c r="E37" s="58">
        <v>1</v>
      </c>
      <c r="F37" s="58">
        <v>0.7</v>
      </c>
      <c r="G37" s="58">
        <v>0.5</v>
      </c>
      <c r="H37" s="58">
        <v>0.1</v>
      </c>
      <c r="L37" s="55"/>
    </row>
    <row r="38" spans="1:12" x14ac:dyDescent="0.15">
      <c r="A38" s="296"/>
      <c r="B38" s="54" t="s">
        <v>67</v>
      </c>
      <c r="C38" s="54" t="str">
        <f t="shared" si="1"/>
        <v>船舶制造业应收账款周转率</v>
      </c>
      <c r="D38" s="58">
        <v>17.600000000000001</v>
      </c>
      <c r="E38" s="58">
        <v>14.4</v>
      </c>
      <c r="F38" s="58">
        <v>10.1</v>
      </c>
      <c r="G38" s="58">
        <v>8.4</v>
      </c>
      <c r="H38" s="58">
        <v>6.7</v>
      </c>
      <c r="L38" s="55"/>
    </row>
    <row r="39" spans="1:12" x14ac:dyDescent="0.15">
      <c r="A39" s="296"/>
      <c r="B39" s="54" t="s">
        <v>130</v>
      </c>
      <c r="C39" s="54" t="str">
        <f t="shared" si="1"/>
        <v>船舶制造业流动资产周转率</v>
      </c>
      <c r="D39" s="58">
        <v>2.6</v>
      </c>
      <c r="E39" s="58">
        <v>1.9</v>
      </c>
      <c r="F39" s="58">
        <v>1</v>
      </c>
      <c r="G39" s="58">
        <v>0.7</v>
      </c>
      <c r="H39" s="58">
        <v>0.4</v>
      </c>
      <c r="L39" s="55"/>
    </row>
    <row r="40" spans="1:12" x14ac:dyDescent="0.15">
      <c r="A40" s="296"/>
      <c r="B40" s="59" t="s">
        <v>135</v>
      </c>
      <c r="C40" s="54" t="str">
        <f t="shared" si="1"/>
        <v>船舶制造业资产现金回收率</v>
      </c>
      <c r="D40" s="57">
        <v>0.254</v>
      </c>
      <c r="E40" s="57">
        <v>0.127</v>
      </c>
      <c r="F40" s="57">
        <v>5.5E-2</v>
      </c>
      <c r="G40" s="57">
        <v>-2.4E-2</v>
      </c>
      <c r="H40" s="57">
        <v>-8.8999999999999996E-2</v>
      </c>
      <c r="L40" s="55"/>
    </row>
    <row r="41" spans="1:12" x14ac:dyDescent="0.15">
      <c r="A41" s="296"/>
      <c r="B41" s="54" t="s">
        <v>73</v>
      </c>
      <c r="C41" s="54" t="str">
        <f t="shared" si="1"/>
        <v>船舶制造业存货周转率</v>
      </c>
      <c r="D41" s="58">
        <v>10.6</v>
      </c>
      <c r="E41" s="58">
        <v>6.3</v>
      </c>
      <c r="F41" s="58">
        <v>3.5</v>
      </c>
      <c r="G41" s="58">
        <v>3.1</v>
      </c>
      <c r="H41" s="58">
        <v>2.8</v>
      </c>
      <c r="L41" s="55"/>
    </row>
    <row r="42" spans="1:12" x14ac:dyDescent="0.15">
      <c r="A42" s="296"/>
      <c r="B42" s="54" t="s">
        <v>137</v>
      </c>
      <c r="C42" s="54" t="str">
        <f t="shared" si="1"/>
        <v>船舶制造业三、短期偿债能力分析</v>
      </c>
      <c r="D42" s="57"/>
      <c r="E42" s="57"/>
      <c r="F42" s="57"/>
      <c r="G42" s="57"/>
      <c r="H42" s="57"/>
      <c r="L42" s="55"/>
    </row>
    <row r="43" spans="1:12" x14ac:dyDescent="0.15">
      <c r="A43" s="296"/>
      <c r="B43" s="54" t="s">
        <v>150</v>
      </c>
      <c r="C43" s="54" t="str">
        <f t="shared" si="1"/>
        <v>船舶制造业带息负债比率</v>
      </c>
      <c r="D43" s="57">
        <v>0.16200000000000001</v>
      </c>
      <c r="E43" s="57">
        <v>0.25800000000000001</v>
      </c>
      <c r="F43" s="57">
        <v>0.33700000000000002</v>
      </c>
      <c r="G43" s="57">
        <v>0.51</v>
      </c>
      <c r="H43" s="57">
        <v>0.66500000000000004</v>
      </c>
      <c r="L43" s="55"/>
    </row>
    <row r="44" spans="1:12" x14ac:dyDescent="0.15">
      <c r="A44" s="296"/>
      <c r="B44" s="54" t="s">
        <v>60</v>
      </c>
      <c r="C44" s="54" t="str">
        <f t="shared" si="1"/>
        <v>船舶制造业速动比率</v>
      </c>
      <c r="D44" s="57">
        <v>1.5129999999999999</v>
      </c>
      <c r="E44" s="57">
        <v>1.089</v>
      </c>
      <c r="F44" s="57">
        <v>0.71299999999999997</v>
      </c>
      <c r="G44" s="57">
        <v>0.58499999999999996</v>
      </c>
      <c r="H44" s="57">
        <v>0.40899999999999997</v>
      </c>
      <c r="L44" s="55"/>
    </row>
    <row r="45" spans="1:12" x14ac:dyDescent="0.15">
      <c r="A45" s="296"/>
      <c r="B45" s="60" t="s">
        <v>148</v>
      </c>
      <c r="C45" s="54" t="str">
        <f t="shared" si="1"/>
        <v>船舶制造业现金流动负债比率</v>
      </c>
      <c r="D45" s="57">
        <v>0.26400000000000001</v>
      </c>
      <c r="E45" s="57">
        <v>0.188</v>
      </c>
      <c r="F45" s="57">
        <v>0.122</v>
      </c>
      <c r="G45" s="57">
        <v>-2.5000000000000001E-2</v>
      </c>
      <c r="H45" s="57">
        <v>-9.2999999999999999E-2</v>
      </c>
      <c r="L45" s="55"/>
    </row>
    <row r="46" spans="1:12" x14ac:dyDescent="0.15">
      <c r="A46" s="296"/>
      <c r="B46" s="54" t="s">
        <v>138</v>
      </c>
      <c r="C46" s="54" t="str">
        <f t="shared" si="1"/>
        <v>船舶制造业四、长期偿债能力分析</v>
      </c>
      <c r="D46" s="57"/>
      <c r="E46" s="57"/>
      <c r="F46" s="57"/>
      <c r="G46" s="57"/>
      <c r="H46" s="57"/>
      <c r="L46" s="55"/>
    </row>
    <row r="47" spans="1:12" x14ac:dyDescent="0.15">
      <c r="A47" s="296"/>
      <c r="B47" s="54" t="s">
        <v>61</v>
      </c>
      <c r="C47" s="54" t="str">
        <f t="shared" si="1"/>
        <v>船舶制造业资产负债比率</v>
      </c>
      <c r="D47" s="57">
        <v>0.71899999999999997</v>
      </c>
      <c r="E47" s="57">
        <v>0.83499999999999996</v>
      </c>
      <c r="F47" s="57">
        <v>0.95299999999999996</v>
      </c>
      <c r="G47" s="57">
        <v>0.96499999999999997</v>
      </c>
      <c r="H47" s="57">
        <v>0.97899999999999998</v>
      </c>
      <c r="L47" s="55"/>
    </row>
    <row r="48" spans="1:12" x14ac:dyDescent="0.15">
      <c r="A48" s="296"/>
      <c r="B48" s="54" t="s">
        <v>62</v>
      </c>
      <c r="C48" s="54" t="str">
        <f t="shared" si="1"/>
        <v>船舶制造业利息保障倍数</v>
      </c>
      <c r="D48" s="58">
        <v>8.8000000000000007</v>
      </c>
      <c r="E48" s="59">
        <v>6.6</v>
      </c>
      <c r="F48" s="58">
        <v>5.0999999999999996</v>
      </c>
      <c r="G48" s="58">
        <v>3.8</v>
      </c>
      <c r="H48" s="58">
        <v>2</v>
      </c>
      <c r="L48" s="55"/>
    </row>
    <row r="49" spans="1:17" x14ac:dyDescent="0.15">
      <c r="A49" s="296"/>
      <c r="B49" s="54" t="s">
        <v>131</v>
      </c>
      <c r="C49" s="54" t="str">
        <f t="shared" si="1"/>
        <v>船舶制造业五、发展能力分析</v>
      </c>
      <c r="D49" s="57"/>
      <c r="E49" s="57"/>
      <c r="F49" s="57"/>
      <c r="G49" s="57"/>
      <c r="H49" s="57"/>
      <c r="L49" s="55"/>
    </row>
    <row r="50" spans="1:17" x14ac:dyDescent="0.15">
      <c r="A50" s="296"/>
      <c r="B50" s="54" t="s">
        <v>132</v>
      </c>
      <c r="C50" s="54" t="str">
        <f t="shared" si="1"/>
        <v>船舶制造业收入增长率</v>
      </c>
      <c r="D50" s="57">
        <v>0.32800000000000001</v>
      </c>
      <c r="E50" s="57">
        <v>0.27600000000000002</v>
      </c>
      <c r="F50" s="57">
        <v>0.22500000000000001</v>
      </c>
      <c r="G50" s="57">
        <v>0.129</v>
      </c>
      <c r="H50" s="57">
        <v>5.0000000000000001E-3</v>
      </c>
      <c r="L50" s="55"/>
    </row>
    <row r="51" spans="1:17" x14ac:dyDescent="0.15">
      <c r="A51" s="296"/>
      <c r="B51" s="59" t="s">
        <v>133</v>
      </c>
      <c r="C51" s="54" t="str">
        <f t="shared" si="1"/>
        <v>船舶制造业资本累积率</v>
      </c>
      <c r="D51" s="57">
        <v>0.182</v>
      </c>
      <c r="E51" s="57">
        <v>0.14899999999999999</v>
      </c>
      <c r="F51" s="57">
        <v>9.1999999999999998E-2</v>
      </c>
      <c r="G51" s="57">
        <v>6.0999999999999999E-2</v>
      </c>
      <c r="H51" s="57">
        <v>-1.6E-2</v>
      </c>
      <c r="L51" s="55"/>
    </row>
    <row r="52" spans="1:17" x14ac:dyDescent="0.15">
      <c r="A52" s="296"/>
      <c r="B52" s="59" t="s">
        <v>159</v>
      </c>
      <c r="C52" s="54" t="str">
        <f t="shared" si="1"/>
        <v>船舶制造业总资产增长率</v>
      </c>
      <c r="D52" s="57">
        <v>0.315</v>
      </c>
      <c r="E52" s="57">
        <v>0.26300000000000001</v>
      </c>
      <c r="F52" s="57">
        <v>0.20599999999999999</v>
      </c>
      <c r="G52" s="57">
        <v>7.9000000000000001E-2</v>
      </c>
      <c r="H52" s="57">
        <v>-1.4E-2</v>
      </c>
      <c r="L52" s="55"/>
    </row>
    <row r="53" spans="1:17" x14ac:dyDescent="0.15">
      <c r="A53" s="296"/>
      <c r="B53" s="59" t="s">
        <v>310</v>
      </c>
      <c r="C53" s="54" t="str">
        <f t="shared" si="1"/>
        <v>船舶制造业主营业务利润增长率</v>
      </c>
      <c r="D53" s="57">
        <v>0.39800000000000002</v>
      </c>
      <c r="E53" s="57">
        <v>0.314</v>
      </c>
      <c r="F53" s="57">
        <v>0.21299999999999999</v>
      </c>
      <c r="G53" s="57">
        <v>1.0999999999999999E-2</v>
      </c>
      <c r="H53" s="57">
        <v>-0.09</v>
      </c>
      <c r="L53" s="55"/>
    </row>
    <row r="54" spans="1:17" x14ac:dyDescent="0.15">
      <c r="A54" s="296" t="s">
        <v>141</v>
      </c>
      <c r="B54" s="54" t="s">
        <v>126</v>
      </c>
      <c r="C54" s="54" t="str">
        <f>$A$54&amp;B54</f>
        <v>黑色金属冶炼业一、获利能力分析</v>
      </c>
      <c r="D54" s="59"/>
      <c r="E54" s="59"/>
      <c r="F54" s="59"/>
      <c r="G54" s="59"/>
      <c r="H54" s="59"/>
      <c r="L54" s="55"/>
    </row>
    <row r="55" spans="1:17" x14ac:dyDescent="0.15">
      <c r="A55" s="296" t="s">
        <v>141</v>
      </c>
      <c r="B55" s="54" t="s">
        <v>54</v>
      </c>
      <c r="C55" s="54" t="str">
        <f t="shared" ref="C55:C78" si="2">$A$54&amp;B55</f>
        <v>黑色金属冶炼业股东权益报酬率</v>
      </c>
      <c r="D55" s="57">
        <v>0.125</v>
      </c>
      <c r="E55" s="57">
        <v>8.1000000000000003E-2</v>
      </c>
      <c r="F55" s="57">
        <v>6.6000000000000003E-2</v>
      </c>
      <c r="G55" s="57">
        <v>-1.9E-2</v>
      </c>
      <c r="H55" s="57">
        <v>-0.11899999999999999</v>
      </c>
      <c r="L55" s="55"/>
      <c r="M55" s="55"/>
      <c r="N55" s="55"/>
      <c r="O55" s="55"/>
      <c r="P55" s="55"/>
      <c r="Q55" s="55"/>
    </row>
    <row r="56" spans="1:17" x14ac:dyDescent="0.15">
      <c r="A56" s="296" t="s">
        <v>141</v>
      </c>
      <c r="B56" s="54" t="s">
        <v>55</v>
      </c>
      <c r="C56" s="54" t="str">
        <f t="shared" si="2"/>
        <v>黑色金属冶炼业总资产利润率</v>
      </c>
      <c r="D56" s="57">
        <v>0.09</v>
      </c>
      <c r="E56" s="57">
        <v>6.4000000000000001E-2</v>
      </c>
      <c r="F56" s="57">
        <v>4.9000000000000002E-2</v>
      </c>
      <c r="G56" s="57">
        <v>1E-3</v>
      </c>
      <c r="H56" s="57">
        <v>-8.5000000000000006E-2</v>
      </c>
      <c r="L56" s="55"/>
    </row>
    <row r="57" spans="1:17" x14ac:dyDescent="0.15">
      <c r="A57" s="296" t="s">
        <v>141</v>
      </c>
      <c r="B57" s="54" t="s">
        <v>308</v>
      </c>
      <c r="C57" s="54" t="str">
        <f t="shared" si="2"/>
        <v>黑色金属冶炼业主营业务利润率</v>
      </c>
      <c r="D57" s="57">
        <v>0.159</v>
      </c>
      <c r="E57" s="57">
        <v>0.11700000000000001</v>
      </c>
      <c r="F57" s="57">
        <v>8.5999999999999993E-2</v>
      </c>
      <c r="G57" s="57">
        <v>2.4E-2</v>
      </c>
      <c r="H57" s="57">
        <v>-4.2000000000000003E-2</v>
      </c>
      <c r="L57" s="55"/>
    </row>
    <row r="58" spans="1:17" x14ac:dyDescent="0.15">
      <c r="A58" s="296" t="s">
        <v>141</v>
      </c>
      <c r="B58" s="54" t="s">
        <v>129</v>
      </c>
      <c r="C58" s="54" t="str">
        <f t="shared" si="2"/>
        <v>黑色金属冶炼业盈余现金保障倍数</v>
      </c>
      <c r="D58" s="58">
        <v>8.1999999999999993</v>
      </c>
      <c r="E58" s="58">
        <v>3.2</v>
      </c>
      <c r="F58" s="58">
        <v>1.2</v>
      </c>
      <c r="G58" s="58">
        <v>0.1</v>
      </c>
      <c r="H58" s="58">
        <v>-1.8</v>
      </c>
      <c r="L58" s="55"/>
    </row>
    <row r="59" spans="1:17" x14ac:dyDescent="0.15">
      <c r="A59" s="296" t="s">
        <v>141</v>
      </c>
      <c r="B59" s="54" t="s">
        <v>58</v>
      </c>
      <c r="C59" s="54" t="str">
        <f t="shared" si="2"/>
        <v>黑色金属冶炼业成本费用利润率</v>
      </c>
      <c r="D59" s="57">
        <v>0.104</v>
      </c>
      <c r="E59" s="57">
        <v>7.4999999999999997E-2</v>
      </c>
      <c r="F59" s="57">
        <v>5.0999999999999997E-2</v>
      </c>
      <c r="G59" s="57">
        <v>-1.7000000000000001E-2</v>
      </c>
      <c r="H59" s="57">
        <v>-8.1000000000000003E-2</v>
      </c>
      <c r="L59" s="55"/>
    </row>
    <row r="60" spans="1:17" x14ac:dyDescent="0.15">
      <c r="A60" s="296" t="s">
        <v>141</v>
      </c>
      <c r="B60" s="54" t="s">
        <v>51</v>
      </c>
      <c r="C60" s="54" t="str">
        <f t="shared" si="2"/>
        <v>黑色金属冶炼业资本收益率</v>
      </c>
      <c r="D60" s="57">
        <v>0.151</v>
      </c>
      <c r="E60" s="57">
        <v>0.11799999999999999</v>
      </c>
      <c r="F60" s="57">
        <v>0.08</v>
      </c>
      <c r="G60" s="57">
        <v>-4.2999999999999997E-2</v>
      </c>
      <c r="H60" s="57">
        <v>-0.124</v>
      </c>
      <c r="L60" s="55"/>
    </row>
    <row r="61" spans="1:17" x14ac:dyDescent="0.15">
      <c r="A61" s="296" t="s">
        <v>141</v>
      </c>
      <c r="B61" s="54" t="s">
        <v>134</v>
      </c>
      <c r="C61" s="54" t="str">
        <f t="shared" si="2"/>
        <v>黑色金属冶炼业二、营运能力分析</v>
      </c>
      <c r="D61" s="57"/>
      <c r="E61" s="57"/>
      <c r="F61" s="57"/>
      <c r="G61" s="57"/>
      <c r="H61" s="57"/>
      <c r="L61" s="55"/>
    </row>
    <row r="62" spans="1:17" x14ac:dyDescent="0.15">
      <c r="A62" s="296" t="s">
        <v>141</v>
      </c>
      <c r="B62" s="54" t="s">
        <v>65</v>
      </c>
      <c r="C62" s="54" t="str">
        <f t="shared" si="2"/>
        <v>黑色金属冶炼业总资产周转率</v>
      </c>
      <c r="D62" s="64">
        <v>1.9</v>
      </c>
      <c r="E62" s="64">
        <v>1.3</v>
      </c>
      <c r="F62" s="64">
        <v>0.9</v>
      </c>
      <c r="G62" s="64">
        <v>0.5</v>
      </c>
      <c r="H62" s="64">
        <v>0.2</v>
      </c>
    </row>
    <row r="63" spans="1:17" x14ac:dyDescent="0.15">
      <c r="A63" s="296" t="s">
        <v>141</v>
      </c>
      <c r="B63" s="54" t="s">
        <v>67</v>
      </c>
      <c r="C63" s="54" t="str">
        <f t="shared" si="2"/>
        <v>黑色金属冶炼业应收账款周转率</v>
      </c>
      <c r="D63" s="64">
        <v>38.5</v>
      </c>
      <c r="E63" s="64">
        <v>26.3</v>
      </c>
      <c r="F63" s="64">
        <v>16.2</v>
      </c>
      <c r="G63" s="64">
        <v>8.1</v>
      </c>
      <c r="H63" s="64">
        <v>3.5</v>
      </c>
    </row>
    <row r="64" spans="1:17" x14ac:dyDescent="0.15">
      <c r="A64" s="296" t="s">
        <v>141</v>
      </c>
      <c r="B64" s="54" t="s">
        <v>130</v>
      </c>
      <c r="C64" s="54" t="str">
        <f t="shared" si="2"/>
        <v>黑色金属冶炼业流动资产周转率</v>
      </c>
      <c r="D64" s="64">
        <v>4.0999999999999996</v>
      </c>
      <c r="E64" s="64">
        <v>3.2</v>
      </c>
      <c r="F64" s="64">
        <v>2.2999999999999998</v>
      </c>
      <c r="G64" s="64">
        <v>1.5</v>
      </c>
      <c r="H64" s="64">
        <v>0.9</v>
      </c>
    </row>
    <row r="65" spans="1:12" x14ac:dyDescent="0.15">
      <c r="A65" s="296" t="s">
        <v>141</v>
      </c>
      <c r="B65" s="59" t="s">
        <v>135</v>
      </c>
      <c r="C65" s="54" t="str">
        <f t="shared" si="2"/>
        <v>黑色金属冶炼业资产现金回收率</v>
      </c>
      <c r="D65" s="57">
        <v>0.10199999999999999</v>
      </c>
      <c r="E65" s="57">
        <v>0.05</v>
      </c>
      <c r="F65" s="57">
        <v>4.0000000000000001E-3</v>
      </c>
      <c r="G65" s="57">
        <v>-6.4000000000000001E-2</v>
      </c>
      <c r="H65" s="57">
        <v>-6.4000000000000001E-2</v>
      </c>
      <c r="L65" s="55"/>
    </row>
    <row r="66" spans="1:12" x14ac:dyDescent="0.15">
      <c r="A66" s="296" t="s">
        <v>141</v>
      </c>
      <c r="B66" s="54" t="s">
        <v>73</v>
      </c>
      <c r="C66" s="54" t="str">
        <f t="shared" si="2"/>
        <v>黑色金属冶炼业存货周转率</v>
      </c>
      <c r="D66" s="58">
        <v>12.7</v>
      </c>
      <c r="E66" s="58">
        <v>9</v>
      </c>
      <c r="F66" s="58">
        <v>5</v>
      </c>
      <c r="G66" s="58">
        <v>3.2</v>
      </c>
      <c r="H66" s="58">
        <v>1</v>
      </c>
      <c r="L66" s="55"/>
    </row>
    <row r="67" spans="1:12" x14ac:dyDescent="0.15">
      <c r="A67" s="296" t="s">
        <v>141</v>
      </c>
      <c r="B67" s="54" t="s">
        <v>137</v>
      </c>
      <c r="C67" s="54" t="str">
        <f t="shared" si="2"/>
        <v>黑色金属冶炼业三、短期偿债能力分析</v>
      </c>
      <c r="D67" s="57"/>
      <c r="E67" s="57"/>
      <c r="F67" s="57"/>
      <c r="G67" s="57"/>
      <c r="H67" s="57"/>
      <c r="L67" s="55"/>
    </row>
    <row r="68" spans="1:12" x14ac:dyDescent="0.15">
      <c r="A68" s="296" t="s">
        <v>141</v>
      </c>
      <c r="B68" s="54" t="s">
        <v>179</v>
      </c>
      <c r="C68" s="54" t="str">
        <f t="shared" si="2"/>
        <v>黑色金属冶炼业带息负债比率</v>
      </c>
      <c r="D68" s="57">
        <v>0.185</v>
      </c>
      <c r="E68" s="57">
        <v>0.27500000000000002</v>
      </c>
      <c r="F68" s="57">
        <v>0.36499999999999999</v>
      </c>
      <c r="G68" s="57">
        <v>0.5</v>
      </c>
      <c r="H68" s="57">
        <v>0.61799999999999999</v>
      </c>
      <c r="L68" s="55"/>
    </row>
    <row r="69" spans="1:12" x14ac:dyDescent="0.15">
      <c r="A69" s="296" t="s">
        <v>141</v>
      </c>
      <c r="B69" s="54" t="s">
        <v>60</v>
      </c>
      <c r="C69" s="54" t="str">
        <f t="shared" si="2"/>
        <v>黑色金属冶炼业速动比率</v>
      </c>
      <c r="D69" s="57">
        <v>1.4239999999999999</v>
      </c>
      <c r="E69" s="57">
        <v>0.95199999999999996</v>
      </c>
      <c r="F69" s="57">
        <v>0.53100000000000003</v>
      </c>
      <c r="G69" s="57">
        <v>0.35199999999999998</v>
      </c>
      <c r="H69" s="57">
        <v>0.17799999999999999</v>
      </c>
      <c r="L69" s="55"/>
    </row>
    <row r="70" spans="1:12" x14ac:dyDescent="0.15">
      <c r="A70" s="296" t="s">
        <v>141</v>
      </c>
      <c r="B70" s="60" t="s">
        <v>148</v>
      </c>
      <c r="C70" s="54" t="str">
        <f t="shared" si="2"/>
        <v>黑色金属冶炼业现金流动负债比率</v>
      </c>
      <c r="D70" s="57">
        <v>0.22900000000000001</v>
      </c>
      <c r="E70" s="57">
        <v>0.159</v>
      </c>
      <c r="F70" s="57">
        <v>8.8999999999999996E-2</v>
      </c>
      <c r="G70" s="57">
        <v>5.0000000000000001E-3</v>
      </c>
      <c r="H70" s="57">
        <v>-6.8000000000000005E-2</v>
      </c>
      <c r="L70" s="55"/>
    </row>
    <row r="71" spans="1:12" x14ac:dyDescent="0.15">
      <c r="A71" s="296" t="s">
        <v>141</v>
      </c>
      <c r="B71" s="54" t="s">
        <v>138</v>
      </c>
      <c r="C71" s="54" t="str">
        <f t="shared" si="2"/>
        <v>黑色金属冶炼业四、长期偿债能力分析</v>
      </c>
      <c r="D71" s="57"/>
      <c r="E71" s="57"/>
      <c r="F71" s="57"/>
      <c r="G71" s="57"/>
      <c r="H71" s="57"/>
      <c r="L71" s="55"/>
    </row>
    <row r="72" spans="1:12" x14ac:dyDescent="0.15">
      <c r="A72" s="296" t="s">
        <v>141</v>
      </c>
      <c r="B72" s="54" t="s">
        <v>61</v>
      </c>
      <c r="C72" s="54" t="str">
        <f t="shared" si="2"/>
        <v>黑色金属冶炼业资产负债比率</v>
      </c>
      <c r="D72" s="57">
        <v>0.4</v>
      </c>
      <c r="E72" s="57">
        <v>0.5</v>
      </c>
      <c r="F72" s="57">
        <v>0.58599999999999997</v>
      </c>
      <c r="G72" s="57">
        <v>0.70399999999999996</v>
      </c>
      <c r="H72" s="57">
        <v>0.84199999999999997</v>
      </c>
    </row>
    <row r="73" spans="1:12" x14ac:dyDescent="0.15">
      <c r="A73" s="296" t="s">
        <v>141</v>
      </c>
      <c r="B73" s="54" t="s">
        <v>62</v>
      </c>
      <c r="C73" s="54" t="str">
        <f t="shared" si="2"/>
        <v>黑色金属冶炼业利息保障倍数</v>
      </c>
      <c r="D73" s="58">
        <v>4.8</v>
      </c>
      <c r="E73" s="58">
        <v>3.4</v>
      </c>
      <c r="F73" s="58">
        <v>2.2999999999999998</v>
      </c>
      <c r="G73" s="58">
        <v>1.6</v>
      </c>
      <c r="H73" s="58">
        <v>-0.8</v>
      </c>
      <c r="L73" s="55"/>
    </row>
    <row r="74" spans="1:12" x14ac:dyDescent="0.15">
      <c r="A74" s="296" t="s">
        <v>141</v>
      </c>
      <c r="B74" s="54" t="s">
        <v>131</v>
      </c>
      <c r="C74" s="54" t="str">
        <f t="shared" si="2"/>
        <v>黑色金属冶炼业五、发展能力分析</v>
      </c>
      <c r="D74" s="57"/>
      <c r="E74" s="57"/>
      <c r="F74" s="57"/>
      <c r="G74" s="57"/>
      <c r="H74" s="57"/>
      <c r="L74" s="55"/>
    </row>
    <row r="75" spans="1:12" x14ac:dyDescent="0.15">
      <c r="A75" s="296" t="s">
        <v>141</v>
      </c>
      <c r="B75" s="54" t="s">
        <v>132</v>
      </c>
      <c r="C75" s="54" t="str">
        <f t="shared" si="2"/>
        <v>黑色金属冶炼业收入增长率</v>
      </c>
      <c r="D75" s="57">
        <v>0.218</v>
      </c>
      <c r="E75" s="57">
        <v>0.14899999999999999</v>
      </c>
      <c r="F75" s="57">
        <v>9.0999999999999998E-2</v>
      </c>
      <c r="G75" s="57">
        <v>-0.06</v>
      </c>
      <c r="H75" s="57">
        <v>-0.13700000000000001</v>
      </c>
      <c r="L75" s="55"/>
    </row>
    <row r="76" spans="1:12" x14ac:dyDescent="0.15">
      <c r="A76" s="296" t="s">
        <v>141</v>
      </c>
      <c r="B76" s="59" t="s">
        <v>133</v>
      </c>
      <c r="C76" s="54" t="str">
        <f t="shared" si="2"/>
        <v>黑色金属冶炼业资本累积率</v>
      </c>
      <c r="D76" s="57">
        <v>0.124</v>
      </c>
      <c r="E76" s="57">
        <v>6.9000000000000006E-2</v>
      </c>
      <c r="F76" s="57">
        <v>3.3000000000000002E-2</v>
      </c>
      <c r="G76" s="57">
        <v>-2.9000000000000001E-2</v>
      </c>
      <c r="H76" s="57">
        <v>-9.9000000000000005E-2</v>
      </c>
      <c r="L76" s="55"/>
    </row>
    <row r="77" spans="1:12" x14ac:dyDescent="0.15">
      <c r="A77" s="296"/>
      <c r="B77" s="59" t="s">
        <v>159</v>
      </c>
      <c r="C77" s="54" t="str">
        <f t="shared" si="2"/>
        <v>黑色金属冶炼业总资产增长率</v>
      </c>
      <c r="D77" s="57">
        <v>0.13300000000000001</v>
      </c>
      <c r="E77" s="57">
        <v>8.7999999999999995E-2</v>
      </c>
      <c r="F77" s="57">
        <v>5.8000000000000003E-2</v>
      </c>
      <c r="G77" s="57">
        <v>-2E-3</v>
      </c>
      <c r="H77" s="57">
        <v>-0.06</v>
      </c>
      <c r="L77" s="55"/>
    </row>
    <row r="78" spans="1:12" x14ac:dyDescent="0.15">
      <c r="A78" s="296" t="s">
        <v>141</v>
      </c>
      <c r="B78" s="59" t="s">
        <v>310</v>
      </c>
      <c r="C78" s="54" t="str">
        <f t="shared" si="2"/>
        <v>黑色金属冶炼业主营业务利润增长率</v>
      </c>
      <c r="D78" s="57">
        <v>0.218</v>
      </c>
      <c r="E78" s="57">
        <v>0.14899999999999999</v>
      </c>
      <c r="F78" s="57">
        <v>9.0999999999999998E-2</v>
      </c>
      <c r="G78" s="57">
        <v>-0.06</v>
      </c>
      <c r="H78" s="57">
        <v>-0.13700000000000001</v>
      </c>
      <c r="L78" s="55"/>
    </row>
    <row r="79" spans="1:12" x14ac:dyDescent="0.15">
      <c r="A79" s="296" t="s">
        <v>178</v>
      </c>
      <c r="B79" s="54" t="s">
        <v>126</v>
      </c>
      <c r="C79" s="54" t="str">
        <f>$A$79&amp;B79</f>
        <v>原油及其天然气开采一、获利能力分析</v>
      </c>
      <c r="D79" s="59"/>
      <c r="E79" s="59"/>
      <c r="F79" s="59"/>
      <c r="G79" s="59"/>
      <c r="H79" s="59"/>
    </row>
    <row r="80" spans="1:12" x14ac:dyDescent="0.15">
      <c r="A80" s="296" t="s">
        <v>151</v>
      </c>
      <c r="B80" s="54" t="s">
        <v>54</v>
      </c>
      <c r="C80" s="54" t="str">
        <f t="shared" ref="C80:C103" si="3">$A$79&amp;B80</f>
        <v>原油及其天然气开采股东权益报酬率</v>
      </c>
      <c r="D80" s="57"/>
      <c r="E80" s="57"/>
      <c r="F80" s="57"/>
      <c r="G80" s="57"/>
      <c r="H80" s="57"/>
    </row>
    <row r="81" spans="1:8" x14ac:dyDescent="0.15">
      <c r="A81" s="296" t="s">
        <v>151</v>
      </c>
      <c r="B81" s="54" t="s">
        <v>55</v>
      </c>
      <c r="C81" s="54" t="str">
        <f t="shared" si="3"/>
        <v>原油及其天然气开采总资产利润率</v>
      </c>
      <c r="D81" s="57"/>
      <c r="E81" s="57"/>
      <c r="F81" s="57"/>
      <c r="G81" s="57"/>
      <c r="H81" s="57"/>
    </row>
    <row r="82" spans="1:8" x14ac:dyDescent="0.15">
      <c r="A82" s="296" t="s">
        <v>151</v>
      </c>
      <c r="B82" s="54" t="s">
        <v>308</v>
      </c>
      <c r="C82" s="54" t="str">
        <f t="shared" si="3"/>
        <v>原油及其天然气开采主营业务利润率</v>
      </c>
      <c r="D82" s="57"/>
      <c r="E82" s="57"/>
      <c r="F82" s="57"/>
      <c r="G82" s="57"/>
      <c r="H82" s="57"/>
    </row>
    <row r="83" spans="1:8" x14ac:dyDescent="0.15">
      <c r="A83" s="296" t="s">
        <v>151</v>
      </c>
      <c r="B83" s="54" t="s">
        <v>129</v>
      </c>
      <c r="C83" s="54" t="str">
        <f t="shared" si="3"/>
        <v>原油及其天然气开采盈余现金保障倍数</v>
      </c>
      <c r="D83" s="58"/>
      <c r="E83" s="58"/>
      <c r="F83" s="58"/>
      <c r="G83" s="58"/>
      <c r="H83" s="58"/>
    </row>
    <row r="84" spans="1:8" x14ac:dyDescent="0.15">
      <c r="A84" s="296" t="s">
        <v>151</v>
      </c>
      <c r="B84" s="54" t="s">
        <v>58</v>
      </c>
      <c r="C84" s="54" t="str">
        <f t="shared" si="3"/>
        <v>原油及其天然气开采成本费用利润率</v>
      </c>
      <c r="D84" s="57"/>
      <c r="E84" s="57"/>
      <c r="F84" s="57"/>
      <c r="G84" s="57"/>
      <c r="H84" s="57"/>
    </row>
    <row r="85" spans="1:8" x14ac:dyDescent="0.15">
      <c r="A85" s="296" t="s">
        <v>151</v>
      </c>
      <c r="B85" s="54" t="s">
        <v>51</v>
      </c>
      <c r="C85" s="54" t="str">
        <f t="shared" si="3"/>
        <v>原油及其天然气开采资本收益率</v>
      </c>
      <c r="D85" s="57"/>
      <c r="E85" s="57"/>
      <c r="F85" s="57"/>
      <c r="G85" s="57"/>
      <c r="H85" s="57"/>
    </row>
    <row r="86" spans="1:8" x14ac:dyDescent="0.15">
      <c r="A86" s="296" t="s">
        <v>151</v>
      </c>
      <c r="B86" s="54" t="s">
        <v>134</v>
      </c>
      <c r="C86" s="54" t="str">
        <f t="shared" si="3"/>
        <v>原油及其天然气开采二、营运能力分析</v>
      </c>
      <c r="D86" s="57"/>
      <c r="E86" s="57"/>
      <c r="F86" s="57"/>
      <c r="G86" s="57"/>
      <c r="H86" s="57"/>
    </row>
    <row r="87" spans="1:8" x14ac:dyDescent="0.15">
      <c r="A87" s="296" t="s">
        <v>151</v>
      </c>
      <c r="B87" s="54" t="s">
        <v>65</v>
      </c>
      <c r="C87" s="54" t="str">
        <f t="shared" si="3"/>
        <v>原油及其天然气开采总资产周转率</v>
      </c>
      <c r="D87" s="64"/>
      <c r="E87" s="64"/>
      <c r="F87" s="64"/>
      <c r="G87" s="64"/>
      <c r="H87" s="64"/>
    </row>
    <row r="88" spans="1:8" x14ac:dyDescent="0.15">
      <c r="A88" s="296" t="s">
        <v>151</v>
      </c>
      <c r="B88" s="54" t="s">
        <v>67</v>
      </c>
      <c r="C88" s="54" t="str">
        <f t="shared" si="3"/>
        <v>原油及其天然气开采应收账款周转率</v>
      </c>
      <c r="D88" s="64"/>
      <c r="E88" s="64"/>
      <c r="F88" s="64"/>
      <c r="G88" s="64"/>
      <c r="H88" s="64"/>
    </row>
    <row r="89" spans="1:8" x14ac:dyDescent="0.15">
      <c r="A89" s="296" t="s">
        <v>151</v>
      </c>
      <c r="B89" s="54" t="s">
        <v>130</v>
      </c>
      <c r="C89" s="54" t="str">
        <f t="shared" si="3"/>
        <v>原油及其天然气开采流动资产周转率</v>
      </c>
      <c r="D89" s="64"/>
      <c r="E89" s="64"/>
      <c r="F89" s="64"/>
      <c r="G89" s="64"/>
      <c r="H89" s="64"/>
    </row>
    <row r="90" spans="1:8" x14ac:dyDescent="0.15">
      <c r="A90" s="296" t="s">
        <v>151</v>
      </c>
      <c r="B90" s="59" t="s">
        <v>135</v>
      </c>
      <c r="C90" s="54" t="str">
        <f t="shared" si="3"/>
        <v>原油及其天然气开采资产现金回收率</v>
      </c>
      <c r="D90" s="57"/>
      <c r="E90" s="57"/>
      <c r="F90" s="57"/>
      <c r="G90" s="57"/>
      <c r="H90" s="57"/>
    </row>
    <row r="91" spans="1:8" x14ac:dyDescent="0.15">
      <c r="A91" s="296" t="s">
        <v>151</v>
      </c>
      <c r="B91" s="54" t="s">
        <v>73</v>
      </c>
      <c r="C91" s="54" t="str">
        <f t="shared" si="3"/>
        <v>原油及其天然气开采存货周转率</v>
      </c>
      <c r="D91" s="58"/>
      <c r="E91" s="58"/>
      <c r="F91" s="58"/>
      <c r="G91" s="58"/>
      <c r="H91" s="58"/>
    </row>
    <row r="92" spans="1:8" x14ac:dyDescent="0.15">
      <c r="A92" s="296" t="s">
        <v>151</v>
      </c>
      <c r="B92" s="54" t="s">
        <v>137</v>
      </c>
      <c r="C92" s="54" t="str">
        <f t="shared" si="3"/>
        <v>原油及其天然气开采三、短期偿债能力分析</v>
      </c>
      <c r="D92" s="57"/>
      <c r="E92" s="57"/>
      <c r="F92" s="57"/>
      <c r="G92" s="57"/>
      <c r="H92" s="57"/>
    </row>
    <row r="93" spans="1:8" x14ac:dyDescent="0.15">
      <c r="A93" s="296" t="s">
        <v>151</v>
      </c>
      <c r="B93" s="54" t="s">
        <v>180</v>
      </c>
      <c r="C93" s="54" t="str">
        <f t="shared" si="3"/>
        <v>原油及其天然气开采带息负债比率</v>
      </c>
      <c r="D93" s="57"/>
      <c r="E93" s="57"/>
      <c r="F93" s="57"/>
      <c r="G93" s="57"/>
      <c r="H93" s="57"/>
    </row>
    <row r="94" spans="1:8" x14ac:dyDescent="0.15">
      <c r="A94" s="296" t="s">
        <v>151</v>
      </c>
      <c r="B94" s="54" t="s">
        <v>60</v>
      </c>
      <c r="C94" s="54" t="str">
        <f t="shared" si="3"/>
        <v>原油及其天然气开采速动比率</v>
      </c>
      <c r="D94" s="57"/>
      <c r="E94" s="57"/>
      <c r="F94" s="57"/>
      <c r="G94" s="57"/>
      <c r="H94" s="57"/>
    </row>
    <row r="95" spans="1:8" x14ac:dyDescent="0.15">
      <c r="A95" s="296" t="s">
        <v>151</v>
      </c>
      <c r="B95" s="60" t="s">
        <v>148</v>
      </c>
      <c r="C95" s="54" t="str">
        <f t="shared" si="3"/>
        <v>原油及其天然气开采现金流动负债比率</v>
      </c>
      <c r="D95" s="57"/>
      <c r="E95" s="57"/>
      <c r="F95" s="57"/>
      <c r="G95" s="57"/>
      <c r="H95" s="57"/>
    </row>
    <row r="96" spans="1:8" x14ac:dyDescent="0.15">
      <c r="A96" s="296" t="s">
        <v>151</v>
      </c>
      <c r="B96" s="54" t="s">
        <v>138</v>
      </c>
      <c r="C96" s="54" t="str">
        <f t="shared" si="3"/>
        <v>原油及其天然气开采四、长期偿债能力分析</v>
      </c>
      <c r="D96" s="57"/>
      <c r="E96" s="57"/>
      <c r="F96" s="57"/>
      <c r="G96" s="57"/>
      <c r="H96" s="57"/>
    </row>
    <row r="97" spans="1:8" x14ac:dyDescent="0.15">
      <c r="A97" s="296" t="s">
        <v>151</v>
      </c>
      <c r="B97" s="54" t="s">
        <v>61</v>
      </c>
      <c r="C97" s="54" t="str">
        <f t="shared" si="3"/>
        <v>原油及其天然气开采资产负债比率</v>
      </c>
      <c r="D97" s="57"/>
      <c r="E97" s="57"/>
      <c r="F97" s="57"/>
      <c r="G97" s="57"/>
      <c r="H97" s="57"/>
    </row>
    <row r="98" spans="1:8" x14ac:dyDescent="0.15">
      <c r="A98" s="296" t="s">
        <v>151</v>
      </c>
      <c r="B98" s="54" t="s">
        <v>62</v>
      </c>
      <c r="C98" s="54" t="str">
        <f t="shared" si="3"/>
        <v>原油及其天然气开采利息保障倍数</v>
      </c>
      <c r="D98" s="58"/>
      <c r="E98" s="58"/>
      <c r="F98" s="58"/>
      <c r="G98" s="58"/>
      <c r="H98" s="58"/>
    </row>
    <row r="99" spans="1:8" x14ac:dyDescent="0.15">
      <c r="A99" s="296" t="s">
        <v>151</v>
      </c>
      <c r="B99" s="54" t="s">
        <v>131</v>
      </c>
      <c r="C99" s="54" t="str">
        <f t="shared" si="3"/>
        <v>原油及其天然气开采五、发展能力分析</v>
      </c>
      <c r="D99" s="57"/>
      <c r="E99" s="57"/>
      <c r="F99" s="57"/>
      <c r="G99" s="57"/>
      <c r="H99" s="57"/>
    </row>
    <row r="100" spans="1:8" x14ac:dyDescent="0.15">
      <c r="A100" s="296" t="s">
        <v>151</v>
      </c>
      <c r="B100" s="54" t="s">
        <v>132</v>
      </c>
      <c r="C100" s="54" t="str">
        <f t="shared" si="3"/>
        <v>原油及其天然气开采收入增长率</v>
      </c>
      <c r="D100" s="57"/>
      <c r="E100" s="57"/>
      <c r="F100" s="57"/>
      <c r="G100" s="57"/>
      <c r="H100" s="57"/>
    </row>
    <row r="101" spans="1:8" x14ac:dyDescent="0.15">
      <c r="A101" s="296" t="s">
        <v>151</v>
      </c>
      <c r="B101" s="59" t="s">
        <v>133</v>
      </c>
      <c r="C101" s="54" t="str">
        <f t="shared" si="3"/>
        <v>原油及其天然气开采资本累积率</v>
      </c>
      <c r="D101" s="57"/>
      <c r="E101" s="57"/>
      <c r="F101" s="57"/>
      <c r="G101" s="57"/>
      <c r="H101" s="57"/>
    </row>
    <row r="102" spans="1:8" x14ac:dyDescent="0.15">
      <c r="A102" s="296"/>
      <c r="B102" s="59" t="s">
        <v>159</v>
      </c>
      <c r="C102" s="54" t="str">
        <f t="shared" si="3"/>
        <v>原油及其天然气开采总资产增长率</v>
      </c>
      <c r="D102" s="57"/>
      <c r="E102" s="57"/>
      <c r="F102" s="57"/>
      <c r="G102" s="57"/>
      <c r="H102" s="57"/>
    </row>
    <row r="103" spans="1:8" x14ac:dyDescent="0.15">
      <c r="A103" s="296" t="s">
        <v>151</v>
      </c>
      <c r="B103" s="59" t="s">
        <v>310</v>
      </c>
      <c r="C103" s="54" t="str">
        <f t="shared" si="3"/>
        <v>原油及其天然气开采主营业务利润增长率</v>
      </c>
      <c r="D103" s="57"/>
      <c r="E103" s="57"/>
      <c r="F103" s="57"/>
      <c r="G103" s="57"/>
      <c r="H103" s="57"/>
    </row>
    <row r="104" spans="1:8" x14ac:dyDescent="0.15">
      <c r="A104" s="293" t="s">
        <v>152</v>
      </c>
      <c r="B104" s="54" t="s">
        <v>126</v>
      </c>
      <c r="C104" s="54" t="str">
        <f>$A$104&amp;B104</f>
        <v>石油加工及其炼焦业一、获利能力分析</v>
      </c>
      <c r="D104" s="59"/>
      <c r="E104" s="59"/>
      <c r="F104" s="59"/>
      <c r="G104" s="59"/>
      <c r="H104" s="59"/>
    </row>
    <row r="105" spans="1:8" x14ac:dyDescent="0.15">
      <c r="A105" s="294"/>
      <c r="B105" s="54" t="s">
        <v>54</v>
      </c>
      <c r="C105" s="54" t="str">
        <f t="shared" ref="C105:C128" si="4">$A$104&amp;B105</f>
        <v>石油加工及其炼焦业股东权益报酬率</v>
      </c>
      <c r="D105" s="57">
        <v>0.10800000000000001</v>
      </c>
      <c r="E105" s="57">
        <v>7.400000000000001E-2</v>
      </c>
      <c r="F105" s="57">
        <v>3.6000000000000004E-2</v>
      </c>
      <c r="G105" s="57">
        <v>-4.2000000000000003E-2</v>
      </c>
      <c r="H105" s="57">
        <v>-8.6999999999999994E-2</v>
      </c>
    </row>
    <row r="106" spans="1:8" x14ac:dyDescent="0.15">
      <c r="A106" s="294"/>
      <c r="B106" s="54" t="s">
        <v>55</v>
      </c>
      <c r="C106" s="54" t="str">
        <f t="shared" si="4"/>
        <v>石油加工及其炼焦业总资产利润率</v>
      </c>
      <c r="D106" s="57">
        <v>8.900000000000001E-2</v>
      </c>
      <c r="E106" s="57">
        <v>5.5999999999999994E-2</v>
      </c>
      <c r="F106" s="57">
        <v>2.4E-2</v>
      </c>
      <c r="G106" s="57">
        <v>-3.9E-2</v>
      </c>
      <c r="H106" s="57">
        <v>-7.0999999999999994E-2</v>
      </c>
    </row>
    <row r="107" spans="1:8" x14ac:dyDescent="0.15">
      <c r="A107" s="294"/>
      <c r="B107" s="54" t="s">
        <v>308</v>
      </c>
      <c r="C107" s="54" t="str">
        <f t="shared" si="4"/>
        <v>石油加工及其炼焦业主营业务利润率</v>
      </c>
      <c r="D107" s="57">
        <v>0.14400000000000002</v>
      </c>
      <c r="E107" s="57">
        <v>7.2999999999999995E-2</v>
      </c>
      <c r="F107" s="57">
        <v>2.5000000000000001E-2</v>
      </c>
      <c r="G107" s="57">
        <v>-1.3000000000000001E-2</v>
      </c>
      <c r="H107" s="57">
        <v>-6.5000000000000002E-2</v>
      </c>
    </row>
    <row r="108" spans="1:8" x14ac:dyDescent="0.15">
      <c r="A108" s="294"/>
      <c r="B108" s="54" t="s">
        <v>129</v>
      </c>
      <c r="C108" s="54" t="str">
        <f t="shared" si="4"/>
        <v>石油加工及其炼焦业盈余现金保障倍数</v>
      </c>
      <c r="D108" s="64">
        <v>4.0999999999999996</v>
      </c>
      <c r="E108" s="64">
        <v>2.2000000000000002</v>
      </c>
      <c r="F108" s="64">
        <v>0.8</v>
      </c>
      <c r="G108" s="64">
        <v>-1.2</v>
      </c>
      <c r="H108" s="64">
        <v>-3.2</v>
      </c>
    </row>
    <row r="109" spans="1:8" x14ac:dyDescent="0.15">
      <c r="A109" s="294"/>
      <c r="B109" s="54" t="s">
        <v>58</v>
      </c>
      <c r="C109" s="54" t="str">
        <f t="shared" si="4"/>
        <v>石油加工及其炼焦业成本费用利润率</v>
      </c>
      <c r="D109" s="57">
        <v>0.113</v>
      </c>
      <c r="E109" s="57">
        <v>8.3000000000000004E-2</v>
      </c>
      <c r="F109" s="57">
        <v>4.5999999999999999E-2</v>
      </c>
      <c r="G109" s="57">
        <v>-8.1000000000000003E-2</v>
      </c>
      <c r="H109" s="57">
        <v>-0.122</v>
      </c>
    </row>
    <row r="110" spans="1:8" x14ac:dyDescent="0.15">
      <c r="A110" s="294"/>
      <c r="B110" s="54" t="s">
        <v>51</v>
      </c>
      <c r="C110" s="54" t="str">
        <f t="shared" si="4"/>
        <v>石油加工及其炼焦业资本收益率</v>
      </c>
      <c r="D110" s="57">
        <v>9.8000000000000004E-2</v>
      </c>
      <c r="E110" s="57">
        <v>6.6000000000000003E-2</v>
      </c>
      <c r="F110" s="57">
        <v>3.9E-2</v>
      </c>
      <c r="G110" s="57">
        <v>-3.2000000000000001E-2</v>
      </c>
      <c r="H110" s="57">
        <v>-0.10400000000000001</v>
      </c>
    </row>
    <row r="111" spans="1:8" x14ac:dyDescent="0.15">
      <c r="A111" s="294"/>
      <c r="B111" s="54" t="s">
        <v>134</v>
      </c>
      <c r="C111" s="54" t="str">
        <f t="shared" si="4"/>
        <v>石油加工及其炼焦业二、营运能力分析</v>
      </c>
      <c r="D111" s="57"/>
      <c r="E111" s="57"/>
      <c r="F111" s="57"/>
      <c r="G111" s="57"/>
      <c r="H111" s="57"/>
    </row>
    <row r="112" spans="1:8" x14ac:dyDescent="0.15">
      <c r="A112" s="294"/>
      <c r="B112" s="54" t="s">
        <v>65</v>
      </c>
      <c r="C112" s="54" t="str">
        <f t="shared" si="4"/>
        <v>石油加工及其炼焦业总资产周转率</v>
      </c>
      <c r="D112" s="64">
        <v>2.5</v>
      </c>
      <c r="E112" s="64">
        <v>1.5</v>
      </c>
      <c r="F112" s="64">
        <v>0.8</v>
      </c>
      <c r="G112" s="64">
        <v>0.4</v>
      </c>
      <c r="H112" s="64">
        <v>0.2</v>
      </c>
    </row>
    <row r="113" spans="1:8" x14ac:dyDescent="0.15">
      <c r="A113" s="294"/>
      <c r="B113" s="54" t="s">
        <v>67</v>
      </c>
      <c r="C113" s="54" t="str">
        <f t="shared" si="4"/>
        <v>石油加工及其炼焦业应收账款周转率</v>
      </c>
      <c r="D113" s="64">
        <v>28.4</v>
      </c>
      <c r="E113" s="64">
        <v>19.8</v>
      </c>
      <c r="F113" s="64">
        <v>10.3</v>
      </c>
      <c r="G113" s="64">
        <v>4.7</v>
      </c>
      <c r="H113" s="64">
        <v>1.1000000000000001</v>
      </c>
    </row>
    <row r="114" spans="1:8" x14ac:dyDescent="0.15">
      <c r="A114" s="294"/>
      <c r="B114" s="54" t="s">
        <v>130</v>
      </c>
      <c r="C114" s="54" t="str">
        <f t="shared" si="4"/>
        <v>石油加工及其炼焦业流动资产周转率</v>
      </c>
      <c r="D114" s="64">
        <v>4.8</v>
      </c>
      <c r="E114" s="64">
        <v>3.9</v>
      </c>
      <c r="F114" s="64">
        <v>2.4</v>
      </c>
      <c r="G114" s="64">
        <v>1.3</v>
      </c>
      <c r="H114" s="64">
        <v>0.5</v>
      </c>
    </row>
    <row r="115" spans="1:8" x14ac:dyDescent="0.15">
      <c r="A115" s="294"/>
      <c r="B115" s="59" t="s">
        <v>135</v>
      </c>
      <c r="C115" s="54" t="str">
        <f t="shared" si="4"/>
        <v>石油加工及其炼焦业资产现金回收率</v>
      </c>
      <c r="D115" s="64">
        <v>16.2</v>
      </c>
      <c r="E115" s="64">
        <v>8.6</v>
      </c>
      <c r="F115" s="64">
        <v>1.6</v>
      </c>
      <c r="G115" s="64">
        <v>-1.6</v>
      </c>
      <c r="H115" s="64">
        <v>-3.2</v>
      </c>
    </row>
    <row r="116" spans="1:8" x14ac:dyDescent="0.15">
      <c r="A116" s="294"/>
      <c r="B116" s="54" t="s">
        <v>73</v>
      </c>
      <c r="C116" s="54" t="str">
        <f t="shared" si="4"/>
        <v>石油加工及其炼焦业存货周转率</v>
      </c>
      <c r="D116" s="64">
        <v>16.5</v>
      </c>
      <c r="E116" s="64">
        <v>12.3</v>
      </c>
      <c r="F116" s="64">
        <v>7.9</v>
      </c>
      <c r="G116" s="64">
        <v>5.3</v>
      </c>
      <c r="H116" s="64">
        <v>1.3</v>
      </c>
    </row>
    <row r="117" spans="1:8" x14ac:dyDescent="0.15">
      <c r="A117" s="294"/>
      <c r="B117" s="54" t="s">
        <v>137</v>
      </c>
      <c r="C117" s="54" t="str">
        <f t="shared" si="4"/>
        <v>石油加工及其炼焦业三、短期偿债能力分析</v>
      </c>
      <c r="D117" s="57"/>
      <c r="E117" s="57"/>
      <c r="F117" s="57"/>
      <c r="G117" s="57"/>
      <c r="H117" s="57"/>
    </row>
    <row r="118" spans="1:8" x14ac:dyDescent="0.15">
      <c r="A118" s="294"/>
      <c r="B118" s="54" t="s">
        <v>179</v>
      </c>
      <c r="C118" s="54" t="str">
        <f t="shared" si="4"/>
        <v>石油加工及其炼焦业带息负债比率</v>
      </c>
      <c r="D118" s="57">
        <v>0.315</v>
      </c>
      <c r="E118" s="57">
        <v>0.41</v>
      </c>
      <c r="F118" s="57">
        <v>0.52400000000000002</v>
      </c>
      <c r="G118" s="57">
        <v>0.63400000000000001</v>
      </c>
      <c r="H118" s="57">
        <v>0.69900000000000007</v>
      </c>
    </row>
    <row r="119" spans="1:8" x14ac:dyDescent="0.15">
      <c r="A119" s="294"/>
      <c r="B119" s="54" t="s">
        <v>60</v>
      </c>
      <c r="C119" s="54" t="str">
        <f t="shared" si="4"/>
        <v>石油加工及其炼焦业速动比率</v>
      </c>
      <c r="D119" s="57">
        <v>1.44</v>
      </c>
      <c r="E119" s="57">
        <v>1.05</v>
      </c>
      <c r="F119" s="57">
        <v>0.68900000000000006</v>
      </c>
      <c r="G119" s="57">
        <v>0.504</v>
      </c>
      <c r="H119" s="57">
        <v>0.377</v>
      </c>
    </row>
    <row r="120" spans="1:8" x14ac:dyDescent="0.15">
      <c r="A120" s="294"/>
      <c r="B120" s="60" t="s">
        <v>148</v>
      </c>
      <c r="C120" s="54" t="str">
        <f t="shared" si="4"/>
        <v>石油加工及其炼焦业现金流动负债比率</v>
      </c>
      <c r="D120" s="57">
        <v>0.19600000000000001</v>
      </c>
      <c r="E120" s="57">
        <v>0.16200000000000001</v>
      </c>
      <c r="F120" s="57">
        <v>0.11</v>
      </c>
      <c r="G120" s="57">
        <v>-0.111</v>
      </c>
      <c r="H120" s="57">
        <v>-0.14199999999999999</v>
      </c>
    </row>
    <row r="121" spans="1:8" x14ac:dyDescent="0.15">
      <c r="A121" s="294"/>
      <c r="B121" s="54" t="s">
        <v>138</v>
      </c>
      <c r="C121" s="54" t="str">
        <f t="shared" si="4"/>
        <v>石油加工及其炼焦业四、长期偿债能力分析</v>
      </c>
      <c r="D121" s="57"/>
      <c r="E121" s="57"/>
      <c r="F121" s="57"/>
      <c r="G121" s="57"/>
      <c r="H121" s="57"/>
    </row>
    <row r="122" spans="1:8" x14ac:dyDescent="0.15">
      <c r="A122" s="294"/>
      <c r="B122" s="54" t="s">
        <v>61</v>
      </c>
      <c r="C122" s="54" t="str">
        <f t="shared" si="4"/>
        <v>石油加工及其炼焦业资产负债比率</v>
      </c>
      <c r="D122" s="57">
        <v>0.41200000000000003</v>
      </c>
      <c r="E122" s="57">
        <v>0.47399999999999998</v>
      </c>
      <c r="F122" s="57">
        <v>0.54299999999999993</v>
      </c>
      <c r="G122" s="57">
        <v>0.68700000000000006</v>
      </c>
      <c r="H122" s="57">
        <v>0.79200000000000004</v>
      </c>
    </row>
    <row r="123" spans="1:8" x14ac:dyDescent="0.15">
      <c r="A123" s="294"/>
      <c r="B123" s="54" t="s">
        <v>62</v>
      </c>
      <c r="C123" s="54" t="str">
        <f t="shared" si="4"/>
        <v>石油加工及其炼焦业利息保障倍数</v>
      </c>
      <c r="D123" s="64">
        <v>5.0999999999999996</v>
      </c>
      <c r="E123" s="59">
        <v>3.7</v>
      </c>
      <c r="F123" s="64">
        <v>2.1</v>
      </c>
      <c r="G123" s="64">
        <v>-1.5</v>
      </c>
      <c r="H123" s="64">
        <v>-3.5</v>
      </c>
    </row>
    <row r="124" spans="1:8" x14ac:dyDescent="0.15">
      <c r="A124" s="294"/>
      <c r="B124" s="54" t="s">
        <v>131</v>
      </c>
      <c r="C124" s="54" t="str">
        <f t="shared" si="4"/>
        <v>石油加工及其炼焦业五、发展能力分析</v>
      </c>
      <c r="D124" s="57"/>
      <c r="E124" s="57"/>
      <c r="F124" s="57"/>
      <c r="G124" s="57"/>
      <c r="H124" s="57"/>
    </row>
    <row r="125" spans="1:8" x14ac:dyDescent="0.15">
      <c r="A125" s="294"/>
      <c r="B125" s="54" t="s">
        <v>132</v>
      </c>
      <c r="C125" s="54" t="str">
        <f t="shared" si="4"/>
        <v>石油加工及其炼焦业收入增长率</v>
      </c>
      <c r="D125" s="57">
        <v>0.28399999999999997</v>
      </c>
      <c r="E125" s="57">
        <v>0.23699999999999999</v>
      </c>
      <c r="F125" s="57">
        <v>0.17199999999999999</v>
      </c>
      <c r="G125" s="57">
        <v>7.2000000000000008E-2</v>
      </c>
      <c r="H125" s="57">
        <v>5.0000000000000001E-3</v>
      </c>
    </row>
    <row r="126" spans="1:8" x14ac:dyDescent="0.15">
      <c r="A126" s="294"/>
      <c r="B126" s="59" t="s">
        <v>133</v>
      </c>
      <c r="C126" s="54" t="str">
        <f t="shared" si="4"/>
        <v>石油加工及其炼焦业资本累积率</v>
      </c>
      <c r="D126" s="57">
        <v>0.20300000000000001</v>
      </c>
      <c r="E126" s="57">
        <v>0.16200000000000001</v>
      </c>
      <c r="F126" s="57">
        <v>0.13100000000000001</v>
      </c>
      <c r="G126" s="57">
        <v>3.3000000000000002E-2</v>
      </c>
      <c r="H126" s="57">
        <v>-3.9E-2</v>
      </c>
    </row>
    <row r="127" spans="1:8" x14ac:dyDescent="0.15">
      <c r="A127" s="294"/>
      <c r="B127" s="59" t="s">
        <v>159</v>
      </c>
      <c r="C127" s="54" t="str">
        <f t="shared" si="4"/>
        <v>石油加工及其炼焦业总资产增长率</v>
      </c>
      <c r="D127" s="57">
        <v>0.17199999999999999</v>
      </c>
      <c r="E127" s="57">
        <v>0.13</v>
      </c>
      <c r="F127" s="57">
        <v>8.900000000000001E-2</v>
      </c>
      <c r="G127" s="57">
        <v>5.2000000000000005E-2</v>
      </c>
      <c r="H127" s="57">
        <v>-4.4000000000000004E-2</v>
      </c>
    </row>
    <row r="128" spans="1:8" x14ac:dyDescent="0.15">
      <c r="A128" s="295"/>
      <c r="B128" s="59" t="s">
        <v>310</v>
      </c>
      <c r="C128" s="54" t="str">
        <f t="shared" si="4"/>
        <v>石油加工及其炼焦业主营业务利润增长率</v>
      </c>
      <c r="D128" s="57">
        <v>0.111</v>
      </c>
      <c r="E128" s="57">
        <v>5.7999999999999996E-2</v>
      </c>
      <c r="F128" s="57">
        <v>1.9E-2</v>
      </c>
      <c r="G128" s="57">
        <v>-3.3000000000000002E-2</v>
      </c>
      <c r="H128" s="57">
        <v>-0.126</v>
      </c>
    </row>
    <row r="129" spans="1:8" x14ac:dyDescent="0.15">
      <c r="A129" s="296" t="s">
        <v>153</v>
      </c>
      <c r="B129" s="54" t="s">
        <v>126</v>
      </c>
      <c r="C129" s="54" t="str">
        <f>$A$129&amp;B129</f>
        <v>通用设备制造业一、获利能力分析</v>
      </c>
      <c r="D129" s="59"/>
      <c r="E129" s="59"/>
      <c r="F129" s="59"/>
      <c r="G129" s="59"/>
      <c r="H129" s="59"/>
    </row>
    <row r="130" spans="1:8" x14ac:dyDescent="0.15">
      <c r="A130" s="296" t="s">
        <v>153</v>
      </c>
      <c r="B130" s="54" t="s">
        <v>54</v>
      </c>
      <c r="C130" s="54" t="str">
        <f t="shared" ref="C130:C153" si="5">$A$129&amp;B130</f>
        <v>通用设备制造业股东权益报酬率</v>
      </c>
      <c r="D130" s="57"/>
      <c r="E130" s="57"/>
      <c r="F130" s="57"/>
      <c r="G130" s="57"/>
      <c r="H130" s="57"/>
    </row>
    <row r="131" spans="1:8" x14ac:dyDescent="0.15">
      <c r="A131" s="296" t="s">
        <v>153</v>
      </c>
      <c r="B131" s="54" t="s">
        <v>55</v>
      </c>
      <c r="C131" s="54" t="str">
        <f t="shared" si="5"/>
        <v>通用设备制造业总资产利润率</v>
      </c>
      <c r="D131" s="57"/>
      <c r="E131" s="57"/>
      <c r="F131" s="57"/>
      <c r="G131" s="57"/>
      <c r="H131" s="57"/>
    </row>
    <row r="132" spans="1:8" x14ac:dyDescent="0.15">
      <c r="A132" s="296" t="s">
        <v>153</v>
      </c>
      <c r="B132" s="54" t="s">
        <v>308</v>
      </c>
      <c r="C132" s="54" t="str">
        <f t="shared" si="5"/>
        <v>通用设备制造业主营业务利润率</v>
      </c>
      <c r="D132" s="57"/>
      <c r="E132" s="57"/>
      <c r="F132" s="57"/>
      <c r="G132" s="57"/>
      <c r="H132" s="57"/>
    </row>
    <row r="133" spans="1:8" x14ac:dyDescent="0.15">
      <c r="A133" s="296" t="s">
        <v>153</v>
      </c>
      <c r="B133" s="54" t="s">
        <v>129</v>
      </c>
      <c r="C133" s="54" t="str">
        <f t="shared" si="5"/>
        <v>通用设备制造业盈余现金保障倍数</v>
      </c>
      <c r="D133" s="58"/>
      <c r="E133" s="58"/>
      <c r="F133" s="58"/>
      <c r="G133" s="58"/>
      <c r="H133" s="58"/>
    </row>
    <row r="134" spans="1:8" x14ac:dyDescent="0.15">
      <c r="A134" s="296" t="s">
        <v>153</v>
      </c>
      <c r="B134" s="54" t="s">
        <v>58</v>
      </c>
      <c r="C134" s="54" t="str">
        <f t="shared" si="5"/>
        <v>通用设备制造业成本费用利润率</v>
      </c>
      <c r="D134" s="57"/>
      <c r="E134" s="57"/>
      <c r="F134" s="57"/>
      <c r="G134" s="57"/>
      <c r="H134" s="57"/>
    </row>
    <row r="135" spans="1:8" x14ac:dyDescent="0.15">
      <c r="A135" s="296" t="s">
        <v>153</v>
      </c>
      <c r="B135" s="54" t="s">
        <v>51</v>
      </c>
      <c r="C135" s="54" t="str">
        <f t="shared" si="5"/>
        <v>通用设备制造业资本收益率</v>
      </c>
      <c r="D135" s="57"/>
      <c r="E135" s="57"/>
      <c r="F135" s="57"/>
      <c r="G135" s="57"/>
      <c r="H135" s="57"/>
    </row>
    <row r="136" spans="1:8" x14ac:dyDescent="0.15">
      <c r="A136" s="296" t="s">
        <v>153</v>
      </c>
      <c r="B136" s="54" t="s">
        <v>134</v>
      </c>
      <c r="C136" s="54" t="str">
        <f t="shared" si="5"/>
        <v>通用设备制造业二、营运能力分析</v>
      </c>
      <c r="D136" s="57"/>
      <c r="E136" s="57"/>
      <c r="F136" s="57"/>
      <c r="G136" s="57"/>
      <c r="H136" s="57"/>
    </row>
    <row r="137" spans="1:8" x14ac:dyDescent="0.15">
      <c r="A137" s="296" t="s">
        <v>153</v>
      </c>
      <c r="B137" s="54" t="s">
        <v>65</v>
      </c>
      <c r="C137" s="54" t="str">
        <f t="shared" si="5"/>
        <v>通用设备制造业总资产周转率</v>
      </c>
      <c r="D137" s="58"/>
      <c r="E137" s="58"/>
      <c r="F137" s="58"/>
      <c r="G137" s="58"/>
      <c r="H137" s="58"/>
    </row>
    <row r="138" spans="1:8" x14ac:dyDescent="0.15">
      <c r="A138" s="296" t="s">
        <v>153</v>
      </c>
      <c r="B138" s="54" t="s">
        <v>67</v>
      </c>
      <c r="C138" s="54" t="str">
        <f t="shared" si="5"/>
        <v>通用设备制造业应收账款周转率</v>
      </c>
      <c r="D138" s="58"/>
      <c r="E138" s="58"/>
      <c r="F138" s="58"/>
      <c r="G138" s="58"/>
      <c r="H138" s="58"/>
    </row>
    <row r="139" spans="1:8" x14ac:dyDescent="0.15">
      <c r="A139" s="296" t="s">
        <v>153</v>
      </c>
      <c r="B139" s="54" t="s">
        <v>130</v>
      </c>
      <c r="C139" s="54" t="str">
        <f t="shared" si="5"/>
        <v>通用设备制造业流动资产周转率</v>
      </c>
      <c r="D139" s="58"/>
      <c r="E139" s="58"/>
      <c r="F139" s="58"/>
      <c r="G139" s="58"/>
      <c r="H139" s="58"/>
    </row>
    <row r="140" spans="1:8" x14ac:dyDescent="0.15">
      <c r="A140" s="296" t="s">
        <v>153</v>
      </c>
      <c r="B140" s="59" t="s">
        <v>135</v>
      </c>
      <c r="C140" s="54" t="str">
        <f t="shared" si="5"/>
        <v>通用设备制造业资产现金回收率</v>
      </c>
      <c r="D140" s="57"/>
      <c r="E140" s="57"/>
      <c r="F140" s="57"/>
      <c r="G140" s="57"/>
      <c r="H140" s="57"/>
    </row>
    <row r="141" spans="1:8" x14ac:dyDescent="0.15">
      <c r="A141" s="296" t="s">
        <v>153</v>
      </c>
      <c r="B141" s="54" t="s">
        <v>73</v>
      </c>
      <c r="C141" s="54" t="str">
        <f t="shared" si="5"/>
        <v>通用设备制造业存货周转率</v>
      </c>
      <c r="D141" s="58"/>
      <c r="E141" s="58"/>
      <c r="F141" s="58"/>
      <c r="G141" s="58"/>
      <c r="H141" s="58"/>
    </row>
    <row r="142" spans="1:8" x14ac:dyDescent="0.15">
      <c r="A142" s="296" t="s">
        <v>153</v>
      </c>
      <c r="B142" s="54" t="s">
        <v>137</v>
      </c>
      <c r="C142" s="54" t="str">
        <f t="shared" si="5"/>
        <v>通用设备制造业三、短期偿债能力分析</v>
      </c>
      <c r="D142" s="57"/>
      <c r="E142" s="57"/>
      <c r="F142" s="57"/>
      <c r="G142" s="57"/>
      <c r="H142" s="57"/>
    </row>
    <row r="143" spans="1:8" x14ac:dyDescent="0.15">
      <c r="A143" s="296" t="s">
        <v>153</v>
      </c>
      <c r="B143" s="54" t="s">
        <v>179</v>
      </c>
      <c r="C143" s="54" t="str">
        <f t="shared" si="5"/>
        <v>通用设备制造业带息负债比率</v>
      </c>
      <c r="D143" s="57"/>
      <c r="E143" s="57"/>
      <c r="F143" s="57"/>
      <c r="G143" s="57"/>
      <c r="H143" s="57"/>
    </row>
    <row r="144" spans="1:8" x14ac:dyDescent="0.15">
      <c r="A144" s="296" t="s">
        <v>153</v>
      </c>
      <c r="B144" s="54" t="s">
        <v>60</v>
      </c>
      <c r="C144" s="54" t="str">
        <f t="shared" si="5"/>
        <v>通用设备制造业速动比率</v>
      </c>
      <c r="D144" s="57"/>
      <c r="E144" s="57"/>
      <c r="F144" s="57"/>
      <c r="G144" s="57"/>
      <c r="H144" s="57"/>
    </row>
    <row r="145" spans="1:8" x14ac:dyDescent="0.15">
      <c r="A145" s="296" t="s">
        <v>153</v>
      </c>
      <c r="B145" s="60" t="s">
        <v>148</v>
      </c>
      <c r="C145" s="54" t="str">
        <f t="shared" si="5"/>
        <v>通用设备制造业现金流动负债比率</v>
      </c>
      <c r="D145" s="57"/>
      <c r="E145" s="57"/>
      <c r="F145" s="57"/>
      <c r="G145" s="57"/>
      <c r="H145" s="57"/>
    </row>
    <row r="146" spans="1:8" x14ac:dyDescent="0.15">
      <c r="A146" s="296" t="s">
        <v>153</v>
      </c>
      <c r="B146" s="54" t="s">
        <v>138</v>
      </c>
      <c r="C146" s="54" t="str">
        <f t="shared" si="5"/>
        <v>通用设备制造业四、长期偿债能力分析</v>
      </c>
      <c r="D146" s="57"/>
      <c r="E146" s="57"/>
      <c r="F146" s="57"/>
      <c r="G146" s="57"/>
      <c r="H146" s="57"/>
    </row>
    <row r="147" spans="1:8" x14ac:dyDescent="0.15">
      <c r="A147" s="296" t="s">
        <v>153</v>
      </c>
      <c r="B147" s="54" t="s">
        <v>61</v>
      </c>
      <c r="C147" s="54" t="str">
        <f t="shared" si="5"/>
        <v>通用设备制造业资产负债比率</v>
      </c>
      <c r="D147" s="57"/>
      <c r="E147" s="57"/>
      <c r="F147" s="57"/>
      <c r="G147" s="57"/>
      <c r="H147" s="57"/>
    </row>
    <row r="148" spans="1:8" x14ac:dyDescent="0.15">
      <c r="A148" s="296" t="s">
        <v>153</v>
      </c>
      <c r="B148" s="54" t="s">
        <v>62</v>
      </c>
      <c r="C148" s="54" t="str">
        <f t="shared" si="5"/>
        <v>通用设备制造业利息保障倍数</v>
      </c>
      <c r="D148" s="58"/>
      <c r="E148" s="59"/>
      <c r="F148" s="58"/>
      <c r="G148" s="58"/>
      <c r="H148" s="58"/>
    </row>
    <row r="149" spans="1:8" x14ac:dyDescent="0.15">
      <c r="A149" s="296" t="s">
        <v>153</v>
      </c>
      <c r="B149" s="54" t="s">
        <v>131</v>
      </c>
      <c r="C149" s="54" t="str">
        <f t="shared" si="5"/>
        <v>通用设备制造业五、发展能力分析</v>
      </c>
      <c r="D149" s="57"/>
      <c r="E149" s="57"/>
      <c r="F149" s="57"/>
      <c r="G149" s="57"/>
      <c r="H149" s="57"/>
    </row>
    <row r="150" spans="1:8" x14ac:dyDescent="0.15">
      <c r="A150" s="296" t="s">
        <v>153</v>
      </c>
      <c r="B150" s="54" t="s">
        <v>132</v>
      </c>
      <c r="C150" s="54" t="str">
        <f t="shared" si="5"/>
        <v>通用设备制造业收入增长率</v>
      </c>
      <c r="D150" s="57"/>
      <c r="E150" s="57"/>
      <c r="F150" s="57"/>
      <c r="G150" s="57"/>
      <c r="H150" s="57"/>
    </row>
    <row r="151" spans="1:8" x14ac:dyDescent="0.15">
      <c r="A151" s="296" t="s">
        <v>153</v>
      </c>
      <c r="B151" s="59" t="s">
        <v>133</v>
      </c>
      <c r="C151" s="54" t="str">
        <f t="shared" si="5"/>
        <v>通用设备制造业资本累积率</v>
      </c>
      <c r="D151" s="57"/>
      <c r="E151" s="57"/>
      <c r="F151" s="57"/>
      <c r="G151" s="57"/>
      <c r="H151" s="57"/>
    </row>
    <row r="152" spans="1:8" x14ac:dyDescent="0.15">
      <c r="A152" s="296"/>
      <c r="B152" s="59" t="s">
        <v>159</v>
      </c>
      <c r="C152" s="54" t="str">
        <f t="shared" si="5"/>
        <v>通用设备制造业总资产增长率</v>
      </c>
      <c r="D152" s="57"/>
      <c r="E152" s="57"/>
      <c r="F152" s="57"/>
      <c r="G152" s="57"/>
      <c r="H152" s="57"/>
    </row>
    <row r="153" spans="1:8" x14ac:dyDescent="0.15">
      <c r="A153" s="296" t="s">
        <v>153</v>
      </c>
      <c r="B153" s="59" t="s">
        <v>310</v>
      </c>
      <c r="C153" s="54" t="str">
        <f t="shared" si="5"/>
        <v>通用设备制造业主营业务利润增长率</v>
      </c>
      <c r="D153" s="57"/>
      <c r="E153" s="57"/>
      <c r="F153" s="57"/>
      <c r="G153" s="57"/>
      <c r="H153" s="57"/>
    </row>
    <row r="154" spans="1:8" x14ac:dyDescent="0.15">
      <c r="A154" s="296" t="s">
        <v>154</v>
      </c>
      <c r="B154" s="54" t="s">
        <v>126</v>
      </c>
      <c r="C154" s="54" t="str">
        <f>$A$154&amp;B154</f>
        <v>航空运输业一、获利能力分析</v>
      </c>
      <c r="D154" s="59"/>
      <c r="E154" s="59"/>
      <c r="F154" s="59"/>
      <c r="G154" s="59"/>
      <c r="H154" s="59"/>
    </row>
    <row r="155" spans="1:8" x14ac:dyDescent="0.15">
      <c r="A155" s="296" t="s">
        <v>154</v>
      </c>
      <c r="B155" s="54" t="s">
        <v>54</v>
      </c>
      <c r="C155" s="54" t="str">
        <f t="shared" ref="C155:C178" si="6">$A$154&amp;B155</f>
        <v>航空运输业股东权益报酬率</v>
      </c>
      <c r="D155" s="57"/>
      <c r="E155" s="57"/>
      <c r="F155" s="57"/>
      <c r="G155" s="57"/>
      <c r="H155" s="57"/>
    </row>
    <row r="156" spans="1:8" x14ac:dyDescent="0.15">
      <c r="A156" s="296" t="s">
        <v>154</v>
      </c>
      <c r="B156" s="54" t="s">
        <v>55</v>
      </c>
      <c r="C156" s="54" t="str">
        <f t="shared" si="6"/>
        <v>航空运输业总资产利润率</v>
      </c>
      <c r="D156" s="57"/>
      <c r="E156" s="57"/>
      <c r="F156" s="57"/>
      <c r="G156" s="57"/>
      <c r="H156" s="57"/>
    </row>
    <row r="157" spans="1:8" x14ac:dyDescent="0.15">
      <c r="A157" s="296" t="s">
        <v>154</v>
      </c>
      <c r="B157" s="54" t="s">
        <v>308</v>
      </c>
      <c r="C157" s="54" t="str">
        <f t="shared" si="6"/>
        <v>航空运输业主营业务利润率</v>
      </c>
      <c r="D157" s="57"/>
      <c r="E157" s="57"/>
      <c r="F157" s="57"/>
      <c r="G157" s="57"/>
      <c r="H157" s="57"/>
    </row>
    <row r="158" spans="1:8" x14ac:dyDescent="0.15">
      <c r="A158" s="296" t="s">
        <v>154</v>
      </c>
      <c r="B158" s="54" t="s">
        <v>129</v>
      </c>
      <c r="C158" s="54" t="str">
        <f t="shared" si="6"/>
        <v>航空运输业盈余现金保障倍数</v>
      </c>
      <c r="D158" s="58"/>
      <c r="E158" s="58"/>
      <c r="F158" s="58"/>
      <c r="G158" s="58"/>
      <c r="H158" s="58"/>
    </row>
    <row r="159" spans="1:8" x14ac:dyDescent="0.15">
      <c r="A159" s="296" t="s">
        <v>154</v>
      </c>
      <c r="B159" s="54" t="s">
        <v>58</v>
      </c>
      <c r="C159" s="54" t="str">
        <f t="shared" si="6"/>
        <v>航空运输业成本费用利润率</v>
      </c>
      <c r="D159" s="57"/>
      <c r="E159" s="57"/>
      <c r="F159" s="57"/>
      <c r="G159" s="57"/>
      <c r="H159" s="57"/>
    </row>
    <row r="160" spans="1:8" x14ac:dyDescent="0.15">
      <c r="A160" s="296" t="s">
        <v>154</v>
      </c>
      <c r="B160" s="54" t="s">
        <v>51</v>
      </c>
      <c r="C160" s="54" t="str">
        <f t="shared" si="6"/>
        <v>航空运输业资本收益率</v>
      </c>
      <c r="D160" s="57"/>
      <c r="E160" s="57"/>
      <c r="F160" s="57"/>
      <c r="G160" s="57"/>
      <c r="H160" s="57"/>
    </row>
    <row r="161" spans="1:8" x14ac:dyDescent="0.15">
      <c r="A161" s="296" t="s">
        <v>154</v>
      </c>
      <c r="B161" s="54" t="s">
        <v>134</v>
      </c>
      <c r="C161" s="54" t="str">
        <f t="shared" si="6"/>
        <v>航空运输业二、营运能力分析</v>
      </c>
      <c r="D161" s="57"/>
      <c r="E161" s="57"/>
      <c r="F161" s="57"/>
      <c r="G161" s="57"/>
      <c r="H161" s="57"/>
    </row>
    <row r="162" spans="1:8" x14ac:dyDescent="0.15">
      <c r="A162" s="296" t="s">
        <v>154</v>
      </c>
      <c r="B162" s="54" t="s">
        <v>65</v>
      </c>
      <c r="C162" s="54" t="str">
        <f t="shared" si="6"/>
        <v>航空运输业总资产周转率</v>
      </c>
      <c r="D162" s="58"/>
      <c r="E162" s="58"/>
      <c r="F162" s="58"/>
      <c r="G162" s="58"/>
      <c r="H162" s="58"/>
    </row>
    <row r="163" spans="1:8" x14ac:dyDescent="0.15">
      <c r="A163" s="296" t="s">
        <v>154</v>
      </c>
      <c r="B163" s="54" t="s">
        <v>67</v>
      </c>
      <c r="C163" s="54" t="str">
        <f t="shared" si="6"/>
        <v>航空运输业应收账款周转率</v>
      </c>
      <c r="D163" s="58"/>
      <c r="E163" s="58"/>
      <c r="F163" s="58"/>
      <c r="G163" s="58"/>
      <c r="H163" s="58"/>
    </row>
    <row r="164" spans="1:8" x14ac:dyDescent="0.15">
      <c r="A164" s="296" t="s">
        <v>154</v>
      </c>
      <c r="B164" s="54" t="s">
        <v>130</v>
      </c>
      <c r="C164" s="54" t="str">
        <f t="shared" si="6"/>
        <v>航空运输业流动资产周转率</v>
      </c>
      <c r="D164" s="58"/>
      <c r="E164" s="58"/>
      <c r="F164" s="58"/>
      <c r="G164" s="58"/>
      <c r="H164" s="58"/>
    </row>
    <row r="165" spans="1:8" x14ac:dyDescent="0.15">
      <c r="A165" s="296" t="s">
        <v>154</v>
      </c>
      <c r="B165" s="59" t="s">
        <v>135</v>
      </c>
      <c r="C165" s="54" t="str">
        <f t="shared" si="6"/>
        <v>航空运输业资产现金回收率</v>
      </c>
      <c r="D165" s="57"/>
      <c r="E165" s="57"/>
      <c r="F165" s="57"/>
      <c r="G165" s="57"/>
      <c r="H165" s="57"/>
    </row>
    <row r="166" spans="1:8" x14ac:dyDescent="0.15">
      <c r="A166" s="296" t="s">
        <v>154</v>
      </c>
      <c r="B166" s="54" t="s">
        <v>73</v>
      </c>
      <c r="C166" s="54" t="str">
        <f t="shared" si="6"/>
        <v>航空运输业存货周转率</v>
      </c>
      <c r="D166" s="58"/>
      <c r="E166" s="58"/>
      <c r="F166" s="58"/>
      <c r="G166" s="58"/>
      <c r="H166" s="58"/>
    </row>
    <row r="167" spans="1:8" x14ac:dyDescent="0.15">
      <c r="A167" s="296" t="s">
        <v>154</v>
      </c>
      <c r="B167" s="54" t="s">
        <v>137</v>
      </c>
      <c r="C167" s="54" t="str">
        <f t="shared" si="6"/>
        <v>航空运输业三、短期偿债能力分析</v>
      </c>
      <c r="D167" s="57"/>
      <c r="E167" s="57"/>
      <c r="F167" s="57"/>
      <c r="G167" s="57"/>
      <c r="H167" s="57"/>
    </row>
    <row r="168" spans="1:8" x14ac:dyDescent="0.15">
      <c r="A168" s="296" t="s">
        <v>154</v>
      </c>
      <c r="B168" s="54" t="s">
        <v>150</v>
      </c>
      <c r="C168" s="54" t="str">
        <f t="shared" si="6"/>
        <v>航空运输业带息负债比率</v>
      </c>
      <c r="D168" s="57"/>
      <c r="E168" s="57"/>
      <c r="F168" s="57"/>
      <c r="G168" s="57"/>
      <c r="H168" s="57"/>
    </row>
    <row r="169" spans="1:8" x14ac:dyDescent="0.15">
      <c r="A169" s="296" t="s">
        <v>154</v>
      </c>
      <c r="B169" s="54" t="s">
        <v>60</v>
      </c>
      <c r="C169" s="54" t="str">
        <f t="shared" si="6"/>
        <v>航空运输业速动比率</v>
      </c>
      <c r="D169" s="57"/>
      <c r="E169" s="57"/>
      <c r="F169" s="57"/>
      <c r="G169" s="57"/>
      <c r="H169" s="57"/>
    </row>
    <row r="170" spans="1:8" x14ac:dyDescent="0.15">
      <c r="A170" s="296" t="s">
        <v>154</v>
      </c>
      <c r="B170" s="60" t="s">
        <v>148</v>
      </c>
      <c r="C170" s="54" t="str">
        <f t="shared" si="6"/>
        <v>航空运输业现金流动负债比率</v>
      </c>
      <c r="D170" s="57"/>
      <c r="E170" s="57"/>
      <c r="F170" s="57"/>
      <c r="G170" s="57"/>
      <c r="H170" s="57"/>
    </row>
    <row r="171" spans="1:8" x14ac:dyDescent="0.15">
      <c r="A171" s="296" t="s">
        <v>154</v>
      </c>
      <c r="B171" s="54" t="s">
        <v>138</v>
      </c>
      <c r="C171" s="54" t="str">
        <f t="shared" si="6"/>
        <v>航空运输业四、长期偿债能力分析</v>
      </c>
      <c r="D171" s="57"/>
      <c r="E171" s="57"/>
      <c r="F171" s="57"/>
      <c r="G171" s="57"/>
      <c r="H171" s="57"/>
    </row>
    <row r="172" spans="1:8" x14ac:dyDescent="0.15">
      <c r="A172" s="296" t="s">
        <v>154</v>
      </c>
      <c r="B172" s="54" t="s">
        <v>61</v>
      </c>
      <c r="C172" s="54" t="str">
        <f t="shared" si="6"/>
        <v>航空运输业资产负债比率</v>
      </c>
      <c r="D172" s="57"/>
      <c r="E172" s="57"/>
      <c r="F172" s="57"/>
      <c r="G172" s="57"/>
      <c r="H172" s="57"/>
    </row>
    <row r="173" spans="1:8" x14ac:dyDescent="0.15">
      <c r="A173" s="296" t="s">
        <v>154</v>
      </c>
      <c r="B173" s="54" t="s">
        <v>62</v>
      </c>
      <c r="C173" s="54" t="str">
        <f t="shared" si="6"/>
        <v>航空运输业利息保障倍数</v>
      </c>
      <c r="D173" s="58"/>
      <c r="E173" s="59"/>
      <c r="F173" s="58"/>
      <c r="G173" s="58"/>
      <c r="H173" s="58"/>
    </row>
    <row r="174" spans="1:8" x14ac:dyDescent="0.15">
      <c r="A174" s="296" t="s">
        <v>154</v>
      </c>
      <c r="B174" s="54" t="s">
        <v>131</v>
      </c>
      <c r="C174" s="54" t="str">
        <f t="shared" si="6"/>
        <v>航空运输业五、发展能力分析</v>
      </c>
      <c r="D174" s="57"/>
      <c r="E174" s="57"/>
      <c r="F174" s="57"/>
      <c r="G174" s="57"/>
      <c r="H174" s="57"/>
    </row>
    <row r="175" spans="1:8" x14ac:dyDescent="0.15">
      <c r="A175" s="296" t="s">
        <v>154</v>
      </c>
      <c r="B175" s="54" t="s">
        <v>132</v>
      </c>
      <c r="C175" s="54" t="str">
        <f t="shared" si="6"/>
        <v>航空运输业收入增长率</v>
      </c>
      <c r="D175" s="57"/>
      <c r="E175" s="57"/>
      <c r="F175" s="57"/>
      <c r="G175" s="57"/>
      <c r="H175" s="57"/>
    </row>
    <row r="176" spans="1:8" x14ac:dyDescent="0.15">
      <c r="A176" s="296" t="s">
        <v>154</v>
      </c>
      <c r="B176" s="59" t="s">
        <v>133</v>
      </c>
      <c r="C176" s="54" t="str">
        <f t="shared" si="6"/>
        <v>航空运输业资本累积率</v>
      </c>
      <c r="D176" s="57"/>
      <c r="E176" s="57"/>
      <c r="F176" s="57"/>
      <c r="G176" s="57"/>
      <c r="H176" s="57"/>
    </row>
    <row r="177" spans="1:8" x14ac:dyDescent="0.15">
      <c r="A177" s="296"/>
      <c r="B177" s="59" t="s">
        <v>159</v>
      </c>
      <c r="C177" s="54" t="str">
        <f t="shared" si="6"/>
        <v>航空运输业总资产增长率</v>
      </c>
      <c r="D177" s="57"/>
      <c r="E177" s="57"/>
      <c r="F177" s="57"/>
      <c r="G177" s="57"/>
      <c r="H177" s="57"/>
    </row>
    <row r="178" spans="1:8" x14ac:dyDescent="0.15">
      <c r="A178" s="296" t="s">
        <v>154</v>
      </c>
      <c r="B178" s="59" t="s">
        <v>310</v>
      </c>
      <c r="C178" s="54" t="str">
        <f t="shared" si="6"/>
        <v>航空运输业主营业务利润增长率</v>
      </c>
      <c r="D178" s="57"/>
      <c r="E178" s="57"/>
      <c r="F178" s="57"/>
      <c r="G178" s="57"/>
      <c r="H178" s="57"/>
    </row>
    <row r="179" spans="1:8" x14ac:dyDescent="0.15">
      <c r="A179" s="296" t="s">
        <v>155</v>
      </c>
      <c r="B179" s="54" t="s">
        <v>126</v>
      </c>
      <c r="C179" s="54" t="str">
        <f>$A$179&amp;B179</f>
        <v>水上运输业一、获利能力分析</v>
      </c>
      <c r="D179" s="59"/>
      <c r="E179" s="59"/>
      <c r="F179" s="59"/>
      <c r="G179" s="59"/>
      <c r="H179" s="59"/>
    </row>
    <row r="180" spans="1:8" x14ac:dyDescent="0.15">
      <c r="A180" s="296" t="s">
        <v>155</v>
      </c>
      <c r="B180" s="54" t="s">
        <v>54</v>
      </c>
      <c r="C180" s="54" t="str">
        <f t="shared" ref="C180:C203" si="7">$A$179&amp;B180</f>
        <v>水上运输业股东权益报酬率</v>
      </c>
      <c r="D180" s="57"/>
      <c r="E180" s="57"/>
      <c r="F180" s="57"/>
      <c r="G180" s="57"/>
      <c r="H180" s="57"/>
    </row>
    <row r="181" spans="1:8" x14ac:dyDescent="0.15">
      <c r="A181" s="296" t="s">
        <v>155</v>
      </c>
      <c r="B181" s="54" t="s">
        <v>55</v>
      </c>
      <c r="C181" s="54" t="str">
        <f t="shared" si="7"/>
        <v>水上运输业总资产利润率</v>
      </c>
      <c r="D181" s="57"/>
      <c r="E181" s="57"/>
      <c r="F181" s="57"/>
      <c r="G181" s="57"/>
      <c r="H181" s="57"/>
    </row>
    <row r="182" spans="1:8" x14ac:dyDescent="0.15">
      <c r="A182" s="296" t="s">
        <v>155</v>
      </c>
      <c r="B182" s="54" t="s">
        <v>308</v>
      </c>
      <c r="C182" s="54" t="str">
        <f t="shared" si="7"/>
        <v>水上运输业主营业务利润率</v>
      </c>
      <c r="D182" s="57"/>
      <c r="E182" s="57"/>
      <c r="F182" s="57"/>
      <c r="G182" s="57"/>
      <c r="H182" s="57"/>
    </row>
    <row r="183" spans="1:8" x14ac:dyDescent="0.15">
      <c r="A183" s="296" t="s">
        <v>155</v>
      </c>
      <c r="B183" s="54" t="s">
        <v>129</v>
      </c>
      <c r="C183" s="54" t="str">
        <f t="shared" si="7"/>
        <v>水上运输业盈余现金保障倍数</v>
      </c>
      <c r="D183" s="58"/>
      <c r="E183" s="58"/>
      <c r="F183" s="58"/>
      <c r="G183" s="58"/>
      <c r="H183" s="58"/>
    </row>
    <row r="184" spans="1:8" x14ac:dyDescent="0.15">
      <c r="A184" s="296" t="s">
        <v>155</v>
      </c>
      <c r="B184" s="54" t="s">
        <v>58</v>
      </c>
      <c r="C184" s="54" t="str">
        <f t="shared" si="7"/>
        <v>水上运输业成本费用利润率</v>
      </c>
      <c r="D184" s="57"/>
      <c r="E184" s="57"/>
      <c r="F184" s="57"/>
      <c r="G184" s="57"/>
      <c r="H184" s="57"/>
    </row>
    <row r="185" spans="1:8" x14ac:dyDescent="0.15">
      <c r="A185" s="296" t="s">
        <v>155</v>
      </c>
      <c r="B185" s="54" t="s">
        <v>51</v>
      </c>
      <c r="C185" s="54" t="str">
        <f t="shared" si="7"/>
        <v>水上运输业资本收益率</v>
      </c>
      <c r="D185" s="57"/>
      <c r="E185" s="57"/>
      <c r="F185" s="57"/>
      <c r="G185" s="57"/>
      <c r="H185" s="57"/>
    </row>
    <row r="186" spans="1:8" x14ac:dyDescent="0.15">
      <c r="A186" s="296" t="s">
        <v>155</v>
      </c>
      <c r="B186" s="54" t="s">
        <v>134</v>
      </c>
      <c r="C186" s="54" t="str">
        <f t="shared" si="7"/>
        <v>水上运输业二、营运能力分析</v>
      </c>
      <c r="D186" s="57"/>
      <c r="E186" s="57"/>
      <c r="F186" s="57"/>
      <c r="G186" s="57"/>
      <c r="H186" s="57"/>
    </row>
    <row r="187" spans="1:8" x14ac:dyDescent="0.15">
      <c r="A187" s="296" t="s">
        <v>155</v>
      </c>
      <c r="B187" s="54" t="s">
        <v>65</v>
      </c>
      <c r="C187" s="54" t="str">
        <f t="shared" si="7"/>
        <v>水上运输业总资产周转率</v>
      </c>
      <c r="D187" s="58"/>
      <c r="E187" s="58"/>
      <c r="F187" s="58"/>
      <c r="G187" s="58"/>
      <c r="H187" s="58"/>
    </row>
    <row r="188" spans="1:8" x14ac:dyDescent="0.15">
      <c r="A188" s="296" t="s">
        <v>155</v>
      </c>
      <c r="B188" s="54" t="s">
        <v>67</v>
      </c>
      <c r="C188" s="54" t="str">
        <f t="shared" si="7"/>
        <v>水上运输业应收账款周转率</v>
      </c>
      <c r="D188" s="58"/>
      <c r="E188" s="58"/>
      <c r="F188" s="58"/>
      <c r="G188" s="58"/>
      <c r="H188" s="58"/>
    </row>
    <row r="189" spans="1:8" x14ac:dyDescent="0.15">
      <c r="A189" s="296" t="s">
        <v>155</v>
      </c>
      <c r="B189" s="54" t="s">
        <v>130</v>
      </c>
      <c r="C189" s="54" t="str">
        <f t="shared" si="7"/>
        <v>水上运输业流动资产周转率</v>
      </c>
      <c r="D189" s="58"/>
      <c r="E189" s="58"/>
      <c r="F189" s="58"/>
      <c r="G189" s="58"/>
      <c r="H189" s="58"/>
    </row>
    <row r="190" spans="1:8" x14ac:dyDescent="0.15">
      <c r="A190" s="296" t="s">
        <v>155</v>
      </c>
      <c r="B190" s="59" t="s">
        <v>135</v>
      </c>
      <c r="C190" s="54" t="str">
        <f t="shared" si="7"/>
        <v>水上运输业资产现金回收率</v>
      </c>
      <c r="D190" s="57"/>
      <c r="E190" s="57"/>
      <c r="F190" s="57"/>
      <c r="G190" s="57"/>
      <c r="H190" s="57"/>
    </row>
    <row r="191" spans="1:8" x14ac:dyDescent="0.15">
      <c r="A191" s="296" t="s">
        <v>155</v>
      </c>
      <c r="B191" s="54" t="s">
        <v>73</v>
      </c>
      <c r="C191" s="54" t="str">
        <f t="shared" si="7"/>
        <v>水上运输业存货周转率</v>
      </c>
      <c r="D191" s="58"/>
      <c r="E191" s="58"/>
      <c r="F191" s="58"/>
      <c r="G191" s="58"/>
      <c r="H191" s="58"/>
    </row>
    <row r="192" spans="1:8" x14ac:dyDescent="0.15">
      <c r="A192" s="296" t="s">
        <v>155</v>
      </c>
      <c r="B192" s="54" t="s">
        <v>137</v>
      </c>
      <c r="C192" s="54" t="str">
        <f t="shared" si="7"/>
        <v>水上运输业三、短期偿债能力分析</v>
      </c>
      <c r="D192" s="57"/>
      <c r="E192" s="57"/>
      <c r="F192" s="57"/>
      <c r="G192" s="57"/>
      <c r="H192" s="57"/>
    </row>
    <row r="193" spans="1:8" x14ac:dyDescent="0.15">
      <c r="A193" s="296" t="s">
        <v>155</v>
      </c>
      <c r="B193" s="54" t="s">
        <v>179</v>
      </c>
      <c r="C193" s="54" t="str">
        <f t="shared" si="7"/>
        <v>水上运输业带息负债比率</v>
      </c>
      <c r="D193" s="57"/>
      <c r="E193" s="57"/>
      <c r="F193" s="57"/>
      <c r="G193" s="57"/>
      <c r="H193" s="57"/>
    </row>
    <row r="194" spans="1:8" x14ac:dyDescent="0.15">
      <c r="A194" s="296" t="s">
        <v>155</v>
      </c>
      <c r="B194" s="54" t="s">
        <v>60</v>
      </c>
      <c r="C194" s="54" t="str">
        <f t="shared" si="7"/>
        <v>水上运输业速动比率</v>
      </c>
      <c r="D194" s="57"/>
      <c r="E194" s="57"/>
      <c r="F194" s="57"/>
      <c r="G194" s="57"/>
      <c r="H194" s="57"/>
    </row>
    <row r="195" spans="1:8" x14ac:dyDescent="0.15">
      <c r="A195" s="296" t="s">
        <v>155</v>
      </c>
      <c r="B195" s="60" t="s">
        <v>148</v>
      </c>
      <c r="C195" s="54" t="str">
        <f t="shared" si="7"/>
        <v>水上运输业现金流动负债比率</v>
      </c>
      <c r="D195" s="57"/>
      <c r="E195" s="57"/>
      <c r="F195" s="57"/>
      <c r="G195" s="57"/>
      <c r="H195" s="57"/>
    </row>
    <row r="196" spans="1:8" x14ac:dyDescent="0.15">
      <c r="A196" s="296" t="s">
        <v>155</v>
      </c>
      <c r="B196" s="54" t="s">
        <v>138</v>
      </c>
      <c r="C196" s="54" t="str">
        <f t="shared" si="7"/>
        <v>水上运输业四、长期偿债能力分析</v>
      </c>
      <c r="D196" s="57"/>
      <c r="E196" s="57"/>
      <c r="F196" s="57"/>
      <c r="G196" s="57"/>
      <c r="H196" s="57"/>
    </row>
    <row r="197" spans="1:8" x14ac:dyDescent="0.15">
      <c r="A197" s="296" t="s">
        <v>155</v>
      </c>
      <c r="B197" s="54" t="s">
        <v>61</v>
      </c>
      <c r="C197" s="54" t="str">
        <f t="shared" si="7"/>
        <v>水上运输业资产负债比率</v>
      </c>
      <c r="D197" s="57"/>
      <c r="E197" s="57"/>
      <c r="F197" s="57"/>
      <c r="G197" s="57"/>
      <c r="H197" s="57"/>
    </row>
    <row r="198" spans="1:8" x14ac:dyDescent="0.15">
      <c r="A198" s="296" t="s">
        <v>155</v>
      </c>
      <c r="B198" s="54" t="s">
        <v>62</v>
      </c>
      <c r="C198" s="54" t="str">
        <f t="shared" si="7"/>
        <v>水上运输业利息保障倍数</v>
      </c>
      <c r="D198" s="58"/>
      <c r="E198" s="59"/>
      <c r="F198" s="58"/>
      <c r="G198" s="58"/>
      <c r="H198" s="58"/>
    </row>
    <row r="199" spans="1:8" x14ac:dyDescent="0.15">
      <c r="A199" s="296" t="s">
        <v>155</v>
      </c>
      <c r="B199" s="54" t="s">
        <v>131</v>
      </c>
      <c r="C199" s="54" t="str">
        <f t="shared" si="7"/>
        <v>水上运输业五、发展能力分析</v>
      </c>
      <c r="D199" s="57"/>
      <c r="E199" s="57"/>
      <c r="F199" s="57"/>
      <c r="G199" s="57"/>
      <c r="H199" s="57"/>
    </row>
    <row r="200" spans="1:8" x14ac:dyDescent="0.15">
      <c r="A200" s="296" t="s">
        <v>155</v>
      </c>
      <c r="B200" s="54" t="s">
        <v>132</v>
      </c>
      <c r="C200" s="54" t="str">
        <f t="shared" si="7"/>
        <v>水上运输业收入增长率</v>
      </c>
      <c r="D200" s="57"/>
      <c r="E200" s="57"/>
      <c r="F200" s="57"/>
      <c r="G200" s="57"/>
      <c r="H200" s="57"/>
    </row>
    <row r="201" spans="1:8" x14ac:dyDescent="0.15">
      <c r="A201" s="296" t="s">
        <v>155</v>
      </c>
      <c r="B201" s="59" t="s">
        <v>133</v>
      </c>
      <c r="C201" s="54" t="str">
        <f t="shared" si="7"/>
        <v>水上运输业资本累积率</v>
      </c>
      <c r="D201" s="57"/>
      <c r="E201" s="57"/>
      <c r="F201" s="57"/>
      <c r="G201" s="57"/>
      <c r="H201" s="57"/>
    </row>
    <row r="202" spans="1:8" x14ac:dyDescent="0.15">
      <c r="A202" s="296"/>
      <c r="B202" s="59" t="s">
        <v>159</v>
      </c>
      <c r="C202" s="54" t="str">
        <f t="shared" si="7"/>
        <v>水上运输业总资产增长率</v>
      </c>
      <c r="D202" s="57"/>
      <c r="E202" s="57"/>
      <c r="F202" s="57"/>
      <c r="G202" s="57"/>
      <c r="H202" s="57"/>
    </row>
    <row r="203" spans="1:8" x14ac:dyDescent="0.15">
      <c r="A203" s="296" t="s">
        <v>155</v>
      </c>
      <c r="B203" s="59" t="s">
        <v>310</v>
      </c>
      <c r="C203" s="54" t="str">
        <f t="shared" si="7"/>
        <v>水上运输业主营业务利润增长率</v>
      </c>
      <c r="D203" s="57"/>
      <c r="E203" s="57"/>
      <c r="F203" s="57"/>
      <c r="G203" s="57"/>
      <c r="H203" s="57"/>
    </row>
    <row r="204" spans="1:8" x14ac:dyDescent="0.15">
      <c r="A204" s="296" t="s">
        <v>156</v>
      </c>
      <c r="B204" s="54" t="s">
        <v>126</v>
      </c>
      <c r="C204" s="54" t="str">
        <f>$A$204&amp;B204</f>
        <v>汽车制造业一、获利能力分析</v>
      </c>
      <c r="D204" s="59"/>
      <c r="E204" s="59"/>
      <c r="F204" s="59"/>
      <c r="G204" s="59"/>
      <c r="H204" s="59"/>
    </row>
    <row r="205" spans="1:8" x14ac:dyDescent="0.15">
      <c r="A205" s="296" t="s">
        <v>156</v>
      </c>
      <c r="B205" s="54" t="s">
        <v>54</v>
      </c>
      <c r="C205" s="54" t="str">
        <f t="shared" ref="C205:C228" si="8">$A$204&amp;B205</f>
        <v>汽车制造业股东权益报酬率</v>
      </c>
      <c r="D205" s="57"/>
      <c r="E205" s="57"/>
      <c r="F205" s="57"/>
      <c r="G205" s="57"/>
      <c r="H205" s="57"/>
    </row>
    <row r="206" spans="1:8" x14ac:dyDescent="0.15">
      <c r="A206" s="296" t="s">
        <v>156</v>
      </c>
      <c r="B206" s="54" t="s">
        <v>55</v>
      </c>
      <c r="C206" s="54" t="str">
        <f t="shared" si="8"/>
        <v>汽车制造业总资产利润率</v>
      </c>
      <c r="D206" s="57"/>
      <c r="E206" s="57"/>
      <c r="F206" s="57"/>
      <c r="G206" s="57"/>
      <c r="H206" s="57"/>
    </row>
    <row r="207" spans="1:8" x14ac:dyDescent="0.15">
      <c r="A207" s="296" t="s">
        <v>156</v>
      </c>
      <c r="B207" s="54" t="s">
        <v>308</v>
      </c>
      <c r="C207" s="54" t="str">
        <f t="shared" si="8"/>
        <v>汽车制造业主营业务利润率</v>
      </c>
      <c r="D207" s="57"/>
      <c r="E207" s="57"/>
      <c r="F207" s="57"/>
      <c r="G207" s="57"/>
      <c r="H207" s="57"/>
    </row>
    <row r="208" spans="1:8" x14ac:dyDescent="0.15">
      <c r="A208" s="296" t="s">
        <v>156</v>
      </c>
      <c r="B208" s="54" t="s">
        <v>129</v>
      </c>
      <c r="C208" s="54" t="str">
        <f t="shared" si="8"/>
        <v>汽车制造业盈余现金保障倍数</v>
      </c>
      <c r="D208" s="58"/>
      <c r="E208" s="58"/>
      <c r="F208" s="58"/>
      <c r="G208" s="58"/>
      <c r="H208" s="58"/>
    </row>
    <row r="209" spans="1:8" x14ac:dyDescent="0.15">
      <c r="A209" s="296" t="s">
        <v>156</v>
      </c>
      <c r="B209" s="54" t="s">
        <v>58</v>
      </c>
      <c r="C209" s="54" t="str">
        <f t="shared" si="8"/>
        <v>汽车制造业成本费用利润率</v>
      </c>
      <c r="D209" s="57"/>
      <c r="E209" s="57"/>
      <c r="F209" s="57"/>
      <c r="G209" s="57"/>
      <c r="H209" s="57"/>
    </row>
    <row r="210" spans="1:8" x14ac:dyDescent="0.15">
      <c r="A210" s="296" t="s">
        <v>156</v>
      </c>
      <c r="B210" s="54" t="s">
        <v>51</v>
      </c>
      <c r="C210" s="54" t="str">
        <f t="shared" si="8"/>
        <v>汽车制造业资本收益率</v>
      </c>
      <c r="D210" s="57"/>
      <c r="E210" s="57"/>
      <c r="F210" s="57"/>
      <c r="G210" s="57"/>
      <c r="H210" s="57"/>
    </row>
    <row r="211" spans="1:8" x14ac:dyDescent="0.15">
      <c r="A211" s="296" t="s">
        <v>156</v>
      </c>
      <c r="B211" s="54" t="s">
        <v>134</v>
      </c>
      <c r="C211" s="54" t="str">
        <f t="shared" si="8"/>
        <v>汽车制造业二、营运能力分析</v>
      </c>
      <c r="D211" s="57"/>
      <c r="E211" s="57"/>
      <c r="F211" s="57"/>
      <c r="G211" s="57"/>
      <c r="H211" s="57"/>
    </row>
    <row r="212" spans="1:8" x14ac:dyDescent="0.15">
      <c r="A212" s="296" t="s">
        <v>156</v>
      </c>
      <c r="B212" s="54" t="s">
        <v>65</v>
      </c>
      <c r="C212" s="54" t="str">
        <f t="shared" si="8"/>
        <v>汽车制造业总资产周转率</v>
      </c>
      <c r="D212" s="58"/>
      <c r="E212" s="58"/>
      <c r="F212" s="58"/>
      <c r="G212" s="58"/>
      <c r="H212" s="58"/>
    </row>
    <row r="213" spans="1:8" x14ac:dyDescent="0.15">
      <c r="A213" s="296" t="s">
        <v>156</v>
      </c>
      <c r="B213" s="54" t="s">
        <v>67</v>
      </c>
      <c r="C213" s="54" t="str">
        <f t="shared" si="8"/>
        <v>汽车制造业应收账款周转率</v>
      </c>
      <c r="D213" s="58"/>
      <c r="E213" s="58"/>
      <c r="F213" s="58"/>
      <c r="G213" s="58"/>
      <c r="H213" s="58"/>
    </row>
    <row r="214" spans="1:8" x14ac:dyDescent="0.15">
      <c r="A214" s="296" t="s">
        <v>156</v>
      </c>
      <c r="B214" s="54" t="s">
        <v>130</v>
      </c>
      <c r="C214" s="54" t="str">
        <f t="shared" si="8"/>
        <v>汽车制造业流动资产周转率</v>
      </c>
      <c r="D214" s="58"/>
      <c r="E214" s="58"/>
      <c r="F214" s="58"/>
      <c r="G214" s="58"/>
      <c r="H214" s="58"/>
    </row>
    <row r="215" spans="1:8" x14ac:dyDescent="0.15">
      <c r="A215" s="296" t="s">
        <v>156</v>
      </c>
      <c r="B215" s="59" t="s">
        <v>135</v>
      </c>
      <c r="C215" s="54" t="str">
        <f t="shared" si="8"/>
        <v>汽车制造业资产现金回收率</v>
      </c>
      <c r="D215" s="57"/>
      <c r="E215" s="57"/>
      <c r="F215" s="57"/>
      <c r="G215" s="57"/>
      <c r="H215" s="57"/>
    </row>
    <row r="216" spans="1:8" x14ac:dyDescent="0.15">
      <c r="A216" s="296" t="s">
        <v>156</v>
      </c>
      <c r="B216" s="54" t="s">
        <v>73</v>
      </c>
      <c r="C216" s="54" t="str">
        <f t="shared" si="8"/>
        <v>汽车制造业存货周转率</v>
      </c>
      <c r="D216" s="58"/>
      <c r="E216" s="58"/>
      <c r="F216" s="58"/>
      <c r="G216" s="58"/>
      <c r="H216" s="58"/>
    </row>
    <row r="217" spans="1:8" x14ac:dyDescent="0.15">
      <c r="A217" s="296" t="s">
        <v>156</v>
      </c>
      <c r="B217" s="54" t="s">
        <v>137</v>
      </c>
      <c r="C217" s="54" t="str">
        <f t="shared" si="8"/>
        <v>汽车制造业三、短期偿债能力分析</v>
      </c>
      <c r="D217" s="57"/>
      <c r="E217" s="57"/>
      <c r="F217" s="57"/>
      <c r="G217" s="57"/>
      <c r="H217" s="57"/>
    </row>
    <row r="218" spans="1:8" x14ac:dyDescent="0.15">
      <c r="A218" s="296" t="s">
        <v>156</v>
      </c>
      <c r="B218" s="54" t="s">
        <v>180</v>
      </c>
      <c r="C218" s="54" t="str">
        <f t="shared" si="8"/>
        <v>汽车制造业带息负债比率</v>
      </c>
      <c r="D218" s="57"/>
      <c r="E218" s="57"/>
      <c r="F218" s="57"/>
      <c r="G218" s="57"/>
      <c r="H218" s="57"/>
    </row>
    <row r="219" spans="1:8" x14ac:dyDescent="0.15">
      <c r="A219" s="296" t="s">
        <v>156</v>
      </c>
      <c r="B219" s="54" t="s">
        <v>60</v>
      </c>
      <c r="C219" s="54" t="str">
        <f t="shared" si="8"/>
        <v>汽车制造业速动比率</v>
      </c>
      <c r="D219" s="57"/>
      <c r="E219" s="57"/>
      <c r="F219" s="57"/>
      <c r="G219" s="57"/>
      <c r="H219" s="57"/>
    </row>
    <row r="220" spans="1:8" x14ac:dyDescent="0.15">
      <c r="A220" s="296" t="s">
        <v>156</v>
      </c>
      <c r="B220" s="60" t="s">
        <v>148</v>
      </c>
      <c r="C220" s="54" t="str">
        <f t="shared" si="8"/>
        <v>汽车制造业现金流动负债比率</v>
      </c>
      <c r="D220" s="57"/>
      <c r="E220" s="57"/>
      <c r="F220" s="57"/>
      <c r="G220" s="57"/>
      <c r="H220" s="57"/>
    </row>
    <row r="221" spans="1:8" x14ac:dyDescent="0.15">
      <c r="A221" s="296" t="s">
        <v>156</v>
      </c>
      <c r="B221" s="54" t="s">
        <v>138</v>
      </c>
      <c r="C221" s="54" t="str">
        <f t="shared" si="8"/>
        <v>汽车制造业四、长期偿债能力分析</v>
      </c>
      <c r="D221" s="57"/>
      <c r="E221" s="57"/>
      <c r="F221" s="57"/>
      <c r="G221" s="57"/>
      <c r="H221" s="57"/>
    </row>
    <row r="222" spans="1:8" x14ac:dyDescent="0.15">
      <c r="A222" s="296" t="s">
        <v>156</v>
      </c>
      <c r="B222" s="54" t="s">
        <v>61</v>
      </c>
      <c r="C222" s="54" t="str">
        <f t="shared" si="8"/>
        <v>汽车制造业资产负债比率</v>
      </c>
      <c r="D222" s="57"/>
      <c r="E222" s="57"/>
      <c r="F222" s="57"/>
      <c r="G222" s="57"/>
      <c r="H222" s="57"/>
    </row>
    <row r="223" spans="1:8" x14ac:dyDescent="0.15">
      <c r="A223" s="296" t="s">
        <v>156</v>
      </c>
      <c r="B223" s="54" t="s">
        <v>62</v>
      </c>
      <c r="C223" s="54" t="str">
        <f t="shared" si="8"/>
        <v>汽车制造业利息保障倍数</v>
      </c>
      <c r="D223" s="58"/>
      <c r="E223" s="59"/>
      <c r="F223" s="58"/>
      <c r="G223" s="58"/>
      <c r="H223" s="58"/>
    </row>
    <row r="224" spans="1:8" x14ac:dyDescent="0.15">
      <c r="A224" s="296" t="s">
        <v>156</v>
      </c>
      <c r="B224" s="54" t="s">
        <v>131</v>
      </c>
      <c r="C224" s="54" t="str">
        <f t="shared" si="8"/>
        <v>汽车制造业五、发展能力分析</v>
      </c>
      <c r="D224" s="57"/>
      <c r="E224" s="57"/>
      <c r="F224" s="57"/>
      <c r="G224" s="57"/>
      <c r="H224" s="57"/>
    </row>
    <row r="225" spans="1:8" x14ac:dyDescent="0.15">
      <c r="A225" s="296" t="s">
        <v>156</v>
      </c>
      <c r="B225" s="54" t="s">
        <v>132</v>
      </c>
      <c r="C225" s="54" t="str">
        <f t="shared" si="8"/>
        <v>汽车制造业收入增长率</v>
      </c>
      <c r="D225" s="57"/>
      <c r="E225" s="57"/>
      <c r="F225" s="57"/>
      <c r="G225" s="57"/>
      <c r="H225" s="57"/>
    </row>
    <row r="226" spans="1:8" x14ac:dyDescent="0.15">
      <c r="A226" s="296" t="s">
        <v>156</v>
      </c>
      <c r="B226" s="59" t="s">
        <v>133</v>
      </c>
      <c r="C226" s="54" t="str">
        <f t="shared" si="8"/>
        <v>汽车制造业资本累积率</v>
      </c>
      <c r="D226" s="57"/>
      <c r="E226" s="57"/>
      <c r="F226" s="57"/>
      <c r="G226" s="57"/>
      <c r="H226" s="57"/>
    </row>
    <row r="227" spans="1:8" x14ac:dyDescent="0.15">
      <c r="A227" s="296"/>
      <c r="B227" s="59" t="s">
        <v>159</v>
      </c>
      <c r="C227" s="54" t="str">
        <f t="shared" si="8"/>
        <v>汽车制造业总资产增长率</v>
      </c>
      <c r="D227" s="57"/>
      <c r="E227" s="57"/>
      <c r="F227" s="57"/>
      <c r="G227" s="57"/>
      <c r="H227" s="57"/>
    </row>
    <row r="228" spans="1:8" x14ac:dyDescent="0.15">
      <c r="A228" s="296" t="s">
        <v>156</v>
      </c>
      <c r="B228" s="59" t="s">
        <v>310</v>
      </c>
      <c r="C228" s="54" t="str">
        <f t="shared" si="8"/>
        <v>汽车制造业主营业务利润增长率</v>
      </c>
      <c r="D228" s="57"/>
      <c r="E228" s="57"/>
      <c r="F228" s="57"/>
      <c r="G228" s="57"/>
      <c r="H228" s="57"/>
    </row>
    <row r="229" spans="1:8" x14ac:dyDescent="0.15">
      <c r="A229" s="296" t="s">
        <v>160</v>
      </c>
      <c r="B229" s="54" t="s">
        <v>126</v>
      </c>
      <c r="C229" s="54" t="str">
        <f>$A$229&amp;B229</f>
        <v>电工器材制造业一、获利能力分析</v>
      </c>
      <c r="D229" s="59"/>
      <c r="E229" s="59"/>
      <c r="F229" s="59"/>
      <c r="G229" s="59"/>
      <c r="H229" s="59"/>
    </row>
    <row r="230" spans="1:8" x14ac:dyDescent="0.15">
      <c r="A230" s="296" t="s">
        <v>156</v>
      </c>
      <c r="B230" s="54" t="s">
        <v>54</v>
      </c>
      <c r="C230" s="54" t="str">
        <f t="shared" ref="C230:C253" si="9">$A$229&amp;B230</f>
        <v>电工器材制造业股东权益报酬率</v>
      </c>
      <c r="D230" s="57"/>
      <c r="E230" s="57"/>
      <c r="F230" s="57"/>
      <c r="G230" s="57"/>
      <c r="H230" s="57"/>
    </row>
    <row r="231" spans="1:8" x14ac:dyDescent="0.15">
      <c r="A231" s="296" t="s">
        <v>156</v>
      </c>
      <c r="B231" s="54" t="s">
        <v>55</v>
      </c>
      <c r="C231" s="54" t="str">
        <f t="shared" si="9"/>
        <v>电工器材制造业总资产利润率</v>
      </c>
      <c r="D231" s="57"/>
      <c r="E231" s="57"/>
      <c r="F231" s="57"/>
      <c r="G231" s="57"/>
      <c r="H231" s="57"/>
    </row>
    <row r="232" spans="1:8" x14ac:dyDescent="0.15">
      <c r="A232" s="296" t="s">
        <v>156</v>
      </c>
      <c r="B232" s="54" t="s">
        <v>308</v>
      </c>
      <c r="C232" s="54" t="str">
        <f t="shared" si="9"/>
        <v>电工器材制造业主营业务利润率</v>
      </c>
      <c r="D232" s="57"/>
      <c r="E232" s="57"/>
      <c r="F232" s="57"/>
      <c r="G232" s="57"/>
      <c r="H232" s="57"/>
    </row>
    <row r="233" spans="1:8" x14ac:dyDescent="0.15">
      <c r="A233" s="296" t="s">
        <v>156</v>
      </c>
      <c r="B233" s="54" t="s">
        <v>129</v>
      </c>
      <c r="C233" s="54" t="str">
        <f t="shared" si="9"/>
        <v>电工器材制造业盈余现金保障倍数</v>
      </c>
      <c r="D233" s="58"/>
      <c r="E233" s="58"/>
      <c r="F233" s="58"/>
      <c r="G233" s="58"/>
      <c r="H233" s="58"/>
    </row>
    <row r="234" spans="1:8" x14ac:dyDescent="0.15">
      <c r="A234" s="296" t="s">
        <v>156</v>
      </c>
      <c r="B234" s="54" t="s">
        <v>58</v>
      </c>
      <c r="C234" s="54" t="str">
        <f t="shared" si="9"/>
        <v>电工器材制造业成本费用利润率</v>
      </c>
      <c r="D234" s="57"/>
      <c r="E234" s="57"/>
      <c r="F234" s="57"/>
      <c r="G234" s="57"/>
      <c r="H234" s="57"/>
    </row>
    <row r="235" spans="1:8" x14ac:dyDescent="0.15">
      <c r="A235" s="296" t="s">
        <v>156</v>
      </c>
      <c r="B235" s="54" t="s">
        <v>51</v>
      </c>
      <c r="C235" s="54" t="str">
        <f t="shared" si="9"/>
        <v>电工器材制造业资本收益率</v>
      </c>
      <c r="D235" s="57"/>
      <c r="E235" s="57"/>
      <c r="F235" s="57"/>
      <c r="G235" s="57"/>
      <c r="H235" s="57"/>
    </row>
    <row r="236" spans="1:8" x14ac:dyDescent="0.15">
      <c r="A236" s="296" t="s">
        <v>156</v>
      </c>
      <c r="B236" s="54" t="s">
        <v>134</v>
      </c>
      <c r="C236" s="54" t="str">
        <f t="shared" si="9"/>
        <v>电工器材制造业二、营运能力分析</v>
      </c>
      <c r="D236" s="57"/>
      <c r="E236" s="57"/>
      <c r="F236" s="57"/>
      <c r="G236" s="57"/>
      <c r="H236" s="57"/>
    </row>
    <row r="237" spans="1:8" x14ac:dyDescent="0.15">
      <c r="A237" s="296" t="s">
        <v>156</v>
      </c>
      <c r="B237" s="54" t="s">
        <v>65</v>
      </c>
      <c r="C237" s="54" t="str">
        <f t="shared" si="9"/>
        <v>电工器材制造业总资产周转率</v>
      </c>
      <c r="D237" s="58"/>
      <c r="E237" s="58"/>
      <c r="F237" s="58"/>
      <c r="G237" s="58"/>
      <c r="H237" s="58"/>
    </row>
    <row r="238" spans="1:8" x14ac:dyDescent="0.15">
      <c r="A238" s="296" t="s">
        <v>156</v>
      </c>
      <c r="B238" s="54" t="s">
        <v>67</v>
      </c>
      <c r="C238" s="54" t="str">
        <f t="shared" si="9"/>
        <v>电工器材制造业应收账款周转率</v>
      </c>
      <c r="D238" s="58"/>
      <c r="E238" s="58"/>
      <c r="F238" s="58"/>
      <c r="G238" s="58"/>
      <c r="H238" s="58"/>
    </row>
    <row r="239" spans="1:8" x14ac:dyDescent="0.15">
      <c r="A239" s="296" t="s">
        <v>156</v>
      </c>
      <c r="B239" s="54" t="s">
        <v>130</v>
      </c>
      <c r="C239" s="54" t="str">
        <f t="shared" si="9"/>
        <v>电工器材制造业流动资产周转率</v>
      </c>
      <c r="D239" s="58"/>
      <c r="E239" s="58"/>
      <c r="F239" s="58"/>
      <c r="G239" s="58"/>
      <c r="H239" s="58"/>
    </row>
    <row r="240" spans="1:8" x14ac:dyDescent="0.15">
      <c r="A240" s="296" t="s">
        <v>156</v>
      </c>
      <c r="B240" s="59" t="s">
        <v>135</v>
      </c>
      <c r="C240" s="54" t="str">
        <f t="shared" si="9"/>
        <v>电工器材制造业资产现金回收率</v>
      </c>
      <c r="D240" s="57"/>
      <c r="E240" s="57"/>
      <c r="F240" s="57"/>
      <c r="G240" s="57"/>
      <c r="H240" s="57"/>
    </row>
    <row r="241" spans="1:8" x14ac:dyDescent="0.15">
      <c r="A241" s="296" t="s">
        <v>156</v>
      </c>
      <c r="B241" s="54" t="s">
        <v>73</v>
      </c>
      <c r="C241" s="54" t="str">
        <f t="shared" si="9"/>
        <v>电工器材制造业存货周转率</v>
      </c>
      <c r="D241" s="58"/>
      <c r="E241" s="58"/>
      <c r="F241" s="58"/>
      <c r="G241" s="58"/>
      <c r="H241" s="58"/>
    </row>
    <row r="242" spans="1:8" x14ac:dyDescent="0.15">
      <c r="A242" s="296" t="s">
        <v>156</v>
      </c>
      <c r="B242" s="54" t="s">
        <v>137</v>
      </c>
      <c r="C242" s="54" t="str">
        <f t="shared" si="9"/>
        <v>电工器材制造业三、短期偿债能力分析</v>
      </c>
      <c r="D242" s="57"/>
      <c r="E242" s="57"/>
      <c r="F242" s="57"/>
      <c r="G242" s="57"/>
      <c r="H242" s="57"/>
    </row>
    <row r="243" spans="1:8" x14ac:dyDescent="0.15">
      <c r="A243" s="296" t="s">
        <v>156</v>
      </c>
      <c r="B243" s="54" t="s">
        <v>180</v>
      </c>
      <c r="C243" s="54" t="str">
        <f t="shared" si="9"/>
        <v>电工器材制造业带息负债比率</v>
      </c>
      <c r="D243" s="57"/>
      <c r="E243" s="57"/>
      <c r="F243" s="57"/>
      <c r="G243" s="57"/>
      <c r="H243" s="57"/>
    </row>
    <row r="244" spans="1:8" x14ac:dyDescent="0.15">
      <c r="A244" s="296" t="s">
        <v>156</v>
      </c>
      <c r="B244" s="54" t="s">
        <v>60</v>
      </c>
      <c r="C244" s="54" t="str">
        <f t="shared" si="9"/>
        <v>电工器材制造业速动比率</v>
      </c>
      <c r="D244" s="57"/>
      <c r="E244" s="57"/>
      <c r="F244" s="57"/>
      <c r="G244" s="57"/>
      <c r="H244" s="57"/>
    </row>
    <row r="245" spans="1:8" x14ac:dyDescent="0.15">
      <c r="A245" s="296" t="s">
        <v>156</v>
      </c>
      <c r="B245" s="60" t="s">
        <v>148</v>
      </c>
      <c r="C245" s="54" t="str">
        <f t="shared" si="9"/>
        <v>电工器材制造业现金流动负债比率</v>
      </c>
      <c r="D245" s="57"/>
      <c r="E245" s="57"/>
      <c r="F245" s="57"/>
      <c r="G245" s="57"/>
      <c r="H245" s="57"/>
    </row>
    <row r="246" spans="1:8" x14ac:dyDescent="0.15">
      <c r="A246" s="296" t="s">
        <v>156</v>
      </c>
      <c r="B246" s="54" t="s">
        <v>138</v>
      </c>
      <c r="C246" s="54" t="str">
        <f t="shared" si="9"/>
        <v>电工器材制造业四、长期偿债能力分析</v>
      </c>
      <c r="D246" s="57"/>
      <c r="E246" s="57"/>
      <c r="F246" s="57"/>
      <c r="G246" s="57"/>
      <c r="H246" s="57"/>
    </row>
    <row r="247" spans="1:8" x14ac:dyDescent="0.15">
      <c r="A247" s="296" t="s">
        <v>156</v>
      </c>
      <c r="B247" s="54" t="s">
        <v>61</v>
      </c>
      <c r="C247" s="54" t="str">
        <f t="shared" si="9"/>
        <v>电工器材制造业资产负债比率</v>
      </c>
      <c r="D247" s="57"/>
      <c r="E247" s="57"/>
      <c r="F247" s="57"/>
      <c r="G247" s="57"/>
      <c r="H247" s="57"/>
    </row>
    <row r="248" spans="1:8" x14ac:dyDescent="0.15">
      <c r="A248" s="296" t="s">
        <v>156</v>
      </c>
      <c r="B248" s="54" t="s">
        <v>62</v>
      </c>
      <c r="C248" s="54" t="str">
        <f t="shared" si="9"/>
        <v>电工器材制造业利息保障倍数</v>
      </c>
      <c r="D248" s="58"/>
      <c r="E248" s="59"/>
      <c r="F248" s="58"/>
      <c r="G248" s="58"/>
      <c r="H248" s="58"/>
    </row>
    <row r="249" spans="1:8" x14ac:dyDescent="0.15">
      <c r="A249" s="296" t="s">
        <v>156</v>
      </c>
      <c r="B249" s="54" t="s">
        <v>131</v>
      </c>
      <c r="C249" s="54" t="str">
        <f t="shared" si="9"/>
        <v>电工器材制造业五、发展能力分析</v>
      </c>
      <c r="D249" s="57"/>
      <c r="E249" s="57"/>
      <c r="F249" s="57"/>
      <c r="G249" s="57"/>
      <c r="H249" s="57"/>
    </row>
    <row r="250" spans="1:8" x14ac:dyDescent="0.15">
      <c r="A250" s="296" t="s">
        <v>156</v>
      </c>
      <c r="B250" s="54" t="s">
        <v>132</v>
      </c>
      <c r="C250" s="54" t="str">
        <f t="shared" si="9"/>
        <v>电工器材制造业收入增长率</v>
      </c>
      <c r="D250" s="57"/>
      <c r="E250" s="57"/>
      <c r="F250" s="57"/>
      <c r="G250" s="57"/>
      <c r="H250" s="57"/>
    </row>
    <row r="251" spans="1:8" x14ac:dyDescent="0.15">
      <c r="A251" s="296" t="s">
        <v>156</v>
      </c>
      <c r="B251" s="59" t="s">
        <v>133</v>
      </c>
      <c r="C251" s="54" t="str">
        <f t="shared" si="9"/>
        <v>电工器材制造业资本累积率</v>
      </c>
      <c r="D251" s="57"/>
      <c r="E251" s="57"/>
      <c r="F251" s="57"/>
      <c r="G251" s="57"/>
      <c r="H251" s="57"/>
    </row>
    <row r="252" spans="1:8" x14ac:dyDescent="0.15">
      <c r="A252" s="296"/>
      <c r="B252" s="59" t="s">
        <v>159</v>
      </c>
      <c r="C252" s="54" t="str">
        <f t="shared" si="9"/>
        <v>电工器材制造业总资产增长率</v>
      </c>
      <c r="D252" s="57"/>
      <c r="E252" s="57"/>
      <c r="F252" s="57"/>
      <c r="G252" s="57"/>
      <c r="H252" s="57"/>
    </row>
    <row r="253" spans="1:8" x14ac:dyDescent="0.15">
      <c r="A253" s="296" t="s">
        <v>156</v>
      </c>
      <c r="B253" s="59" t="s">
        <v>310</v>
      </c>
      <c r="C253" s="54" t="str">
        <f t="shared" si="9"/>
        <v>电工器材制造业主营业务利润增长率</v>
      </c>
      <c r="D253" s="57"/>
      <c r="E253" s="57"/>
      <c r="F253" s="57"/>
      <c r="G253" s="57"/>
      <c r="H253" s="57"/>
    </row>
    <row r="254" spans="1:8" x14ac:dyDescent="0.15">
      <c r="A254" s="296" t="s">
        <v>316</v>
      </c>
      <c r="B254" s="54" t="s">
        <v>126</v>
      </c>
      <c r="C254" s="59" t="str">
        <f>$A$254&amp;B254</f>
        <v>煤炭工业一、获利能力分析</v>
      </c>
      <c r="D254" s="59"/>
      <c r="E254" s="59"/>
      <c r="F254" s="59"/>
      <c r="G254" s="59"/>
      <c r="H254" s="59"/>
    </row>
    <row r="255" spans="1:8" x14ac:dyDescent="0.15">
      <c r="A255" s="296" t="s">
        <v>156</v>
      </c>
      <c r="B255" s="54" t="s">
        <v>54</v>
      </c>
      <c r="C255" s="59" t="str">
        <f t="shared" ref="C255:C278" si="10">$A$254&amp;B255</f>
        <v>煤炭工业股东权益报酬率</v>
      </c>
      <c r="D255" s="57">
        <v>0.20399999999999999</v>
      </c>
      <c r="E255" s="57">
        <v>0.14299999999999999</v>
      </c>
      <c r="F255" s="57">
        <v>0.112</v>
      </c>
      <c r="G255" s="57">
        <v>0.05</v>
      </c>
      <c r="H255" s="57">
        <v>-4.7E-2</v>
      </c>
    </row>
    <row r="256" spans="1:8" x14ac:dyDescent="0.15">
      <c r="A256" s="296" t="s">
        <v>156</v>
      </c>
      <c r="B256" s="54" t="s">
        <v>55</v>
      </c>
      <c r="C256" s="59" t="str">
        <f t="shared" si="10"/>
        <v>煤炭工业总资产利润率</v>
      </c>
      <c r="D256" s="57">
        <v>0.14099999999999999</v>
      </c>
      <c r="E256" s="57">
        <v>0.114</v>
      </c>
      <c r="F256" s="57">
        <v>8.4000000000000005E-2</v>
      </c>
      <c r="G256" s="57">
        <v>3.4000000000000002E-2</v>
      </c>
      <c r="H256" s="57">
        <v>-3.1E-2</v>
      </c>
    </row>
    <row r="257" spans="1:8" x14ac:dyDescent="0.15">
      <c r="A257" s="296" t="s">
        <v>156</v>
      </c>
      <c r="B257" s="54" t="s">
        <v>308</v>
      </c>
      <c r="C257" s="59" t="str">
        <f t="shared" si="10"/>
        <v>煤炭工业主营业务利润率</v>
      </c>
      <c r="D257" s="57">
        <v>0.34100000000000003</v>
      </c>
      <c r="E257" s="57">
        <v>0.29599999999999999</v>
      </c>
      <c r="F257" s="57">
        <v>0.23899999999999999</v>
      </c>
      <c r="G257" s="57">
        <v>0.152</v>
      </c>
      <c r="H257" s="57">
        <v>7.5999999999999998E-2</v>
      </c>
    </row>
    <row r="258" spans="1:8" x14ac:dyDescent="0.15">
      <c r="A258" s="296" t="s">
        <v>156</v>
      </c>
      <c r="B258" s="54" t="s">
        <v>129</v>
      </c>
      <c r="C258" s="59" t="str">
        <f t="shared" si="10"/>
        <v>煤炭工业盈余现金保障倍数</v>
      </c>
      <c r="D258" s="58">
        <v>11.5</v>
      </c>
      <c r="E258" s="58">
        <v>4.7</v>
      </c>
      <c r="F258" s="58">
        <v>1.8</v>
      </c>
      <c r="G258" s="58">
        <v>0.3</v>
      </c>
      <c r="H258" s="58">
        <v>-0.7</v>
      </c>
    </row>
    <row r="259" spans="1:8" x14ac:dyDescent="0.15">
      <c r="A259" s="296" t="s">
        <v>156</v>
      </c>
      <c r="B259" s="54" t="s">
        <v>58</v>
      </c>
      <c r="C259" s="59" t="str">
        <f t="shared" si="10"/>
        <v>煤炭工业成本费用利润率</v>
      </c>
      <c r="D259" s="57">
        <v>0.23499999999999999</v>
      </c>
      <c r="E259" s="57">
        <v>0.17599999999999999</v>
      </c>
      <c r="F259" s="57">
        <v>0.128</v>
      </c>
      <c r="G259" s="57">
        <v>5.8000000000000003E-2</v>
      </c>
      <c r="H259" s="57">
        <v>-0.05</v>
      </c>
    </row>
    <row r="260" spans="1:8" x14ac:dyDescent="0.15">
      <c r="A260" s="296" t="s">
        <v>156</v>
      </c>
      <c r="B260" s="54" t="s">
        <v>51</v>
      </c>
      <c r="C260" s="59" t="str">
        <f t="shared" si="10"/>
        <v>煤炭工业资本收益率</v>
      </c>
      <c r="D260" s="57">
        <v>0.222</v>
      </c>
      <c r="E260" s="57">
        <v>0.156</v>
      </c>
      <c r="F260" s="57">
        <v>0.115</v>
      </c>
      <c r="G260" s="57">
        <v>5.2999999999999999E-2</v>
      </c>
      <c r="H260" s="57">
        <v>-4.9000000000000002E-2</v>
      </c>
    </row>
    <row r="261" spans="1:8" x14ac:dyDescent="0.15">
      <c r="A261" s="296" t="s">
        <v>156</v>
      </c>
      <c r="B261" s="54" t="s">
        <v>134</v>
      </c>
      <c r="C261" s="59" t="str">
        <f t="shared" si="10"/>
        <v>煤炭工业二、营运能力分析</v>
      </c>
      <c r="D261" s="57"/>
      <c r="E261" s="57"/>
      <c r="F261" s="57"/>
      <c r="G261" s="57"/>
      <c r="H261" s="57"/>
    </row>
    <row r="262" spans="1:8" x14ac:dyDescent="0.15">
      <c r="A262" s="296" t="s">
        <v>156</v>
      </c>
      <c r="B262" s="54" t="s">
        <v>65</v>
      </c>
      <c r="C262" s="59" t="str">
        <f t="shared" si="10"/>
        <v>煤炭工业总资产周转率</v>
      </c>
      <c r="D262" s="58">
        <v>1.6</v>
      </c>
      <c r="E262" s="58">
        <v>1.1000000000000001</v>
      </c>
      <c r="F262" s="58">
        <v>0.7</v>
      </c>
      <c r="G262" s="58">
        <v>0.5</v>
      </c>
      <c r="H262" s="58">
        <v>0.2</v>
      </c>
    </row>
    <row r="263" spans="1:8" x14ac:dyDescent="0.15">
      <c r="A263" s="296" t="s">
        <v>156</v>
      </c>
      <c r="B263" s="54" t="s">
        <v>67</v>
      </c>
      <c r="C263" s="59" t="str">
        <f t="shared" si="10"/>
        <v>煤炭工业应收账款周转率</v>
      </c>
      <c r="D263" s="58">
        <v>19.8</v>
      </c>
      <c r="E263" s="58">
        <v>12.2</v>
      </c>
      <c r="F263" s="58">
        <v>8.9</v>
      </c>
      <c r="G263" s="58">
        <v>5.6</v>
      </c>
      <c r="H263" s="58">
        <v>2.1</v>
      </c>
    </row>
    <row r="264" spans="1:8" x14ac:dyDescent="0.15">
      <c r="A264" s="296" t="s">
        <v>156</v>
      </c>
      <c r="B264" s="54" t="s">
        <v>130</v>
      </c>
      <c r="C264" s="59" t="str">
        <f t="shared" si="10"/>
        <v>煤炭工业流动资产周转率</v>
      </c>
      <c r="D264" s="58">
        <v>3</v>
      </c>
      <c r="E264" s="58">
        <v>2.1</v>
      </c>
      <c r="F264" s="58">
        <v>1.3</v>
      </c>
      <c r="G264" s="58">
        <v>0.6</v>
      </c>
      <c r="H264" s="58">
        <v>0.3</v>
      </c>
    </row>
    <row r="265" spans="1:8" x14ac:dyDescent="0.15">
      <c r="A265" s="296" t="s">
        <v>156</v>
      </c>
      <c r="B265" s="59" t="s">
        <v>135</v>
      </c>
      <c r="C265" s="59" t="str">
        <f t="shared" si="10"/>
        <v>煤炭工业资产现金回收率</v>
      </c>
      <c r="D265" s="57">
        <v>0.20899999999999999</v>
      </c>
      <c r="E265" s="57">
        <v>0.14499999999999999</v>
      </c>
      <c r="F265" s="57">
        <v>8.5999999999999993E-2</v>
      </c>
      <c r="G265" s="57">
        <v>5.0000000000000001E-3</v>
      </c>
      <c r="H265" s="57">
        <v>-4.7E-2</v>
      </c>
    </row>
    <row r="266" spans="1:8" x14ac:dyDescent="0.15">
      <c r="A266" s="296" t="s">
        <v>156</v>
      </c>
      <c r="B266" s="54" t="s">
        <v>73</v>
      </c>
      <c r="C266" s="59" t="str">
        <f t="shared" si="10"/>
        <v>煤炭工业存货周转率</v>
      </c>
      <c r="D266" s="58">
        <v>28.3</v>
      </c>
      <c r="E266" s="58">
        <v>17.5</v>
      </c>
      <c r="F266" s="58">
        <v>9.6</v>
      </c>
      <c r="G266" s="58">
        <v>7.6</v>
      </c>
      <c r="H266" s="58">
        <v>6.3</v>
      </c>
    </row>
    <row r="267" spans="1:8" x14ac:dyDescent="0.15">
      <c r="A267" s="296" t="s">
        <v>156</v>
      </c>
      <c r="B267" s="54" t="s">
        <v>137</v>
      </c>
      <c r="C267" s="59" t="str">
        <f t="shared" si="10"/>
        <v>煤炭工业三、短期偿债能力分析</v>
      </c>
      <c r="D267" s="57"/>
      <c r="E267" s="57"/>
      <c r="F267" s="57"/>
      <c r="G267" s="57"/>
      <c r="H267" s="57"/>
    </row>
    <row r="268" spans="1:8" x14ac:dyDescent="0.15">
      <c r="A268" s="296" t="s">
        <v>156</v>
      </c>
      <c r="B268" s="54" t="s">
        <v>180</v>
      </c>
      <c r="C268" s="59" t="str">
        <f t="shared" si="10"/>
        <v>煤炭工业带息负债比率</v>
      </c>
      <c r="D268" s="57">
        <v>0.248</v>
      </c>
      <c r="E268" s="57">
        <v>0.33700000000000002</v>
      </c>
      <c r="F268" s="57">
        <v>0.44800000000000001</v>
      </c>
      <c r="G268" s="57">
        <v>0.56499999999999995</v>
      </c>
      <c r="H268" s="57">
        <v>0.69199999999999995</v>
      </c>
    </row>
    <row r="269" spans="1:8" x14ac:dyDescent="0.15">
      <c r="A269" s="296" t="s">
        <v>156</v>
      </c>
      <c r="B269" s="54" t="s">
        <v>60</v>
      </c>
      <c r="C269" s="59" t="str">
        <f t="shared" si="10"/>
        <v>煤炭工业速动比率</v>
      </c>
      <c r="D269" s="57">
        <v>1.901</v>
      </c>
      <c r="E269" s="57">
        <v>1.415</v>
      </c>
      <c r="F269" s="57">
        <v>0.93200000000000005</v>
      </c>
      <c r="G269" s="57">
        <v>0.54500000000000004</v>
      </c>
      <c r="H269" s="57">
        <v>0.32</v>
      </c>
    </row>
    <row r="270" spans="1:8" x14ac:dyDescent="0.15">
      <c r="A270" s="296" t="s">
        <v>156</v>
      </c>
      <c r="B270" s="60" t="s">
        <v>148</v>
      </c>
      <c r="C270" s="59" t="str">
        <f t="shared" si="10"/>
        <v>煤炭工业现金流动负债比率</v>
      </c>
      <c r="D270" s="57">
        <v>0.40799999999999997</v>
      </c>
      <c r="E270" s="57">
        <v>0.28899999999999998</v>
      </c>
      <c r="F270" s="57">
        <v>0.17199999999999999</v>
      </c>
      <c r="G270" s="57">
        <v>1.7000000000000001E-2</v>
      </c>
      <c r="H270" s="57">
        <v>-5.2999999999999999E-2</v>
      </c>
    </row>
    <row r="271" spans="1:8" x14ac:dyDescent="0.15">
      <c r="A271" s="296" t="s">
        <v>156</v>
      </c>
      <c r="B271" s="54" t="s">
        <v>138</v>
      </c>
      <c r="C271" s="59" t="str">
        <f t="shared" si="10"/>
        <v>煤炭工业四、长期偿债能力分析</v>
      </c>
      <c r="D271" s="57"/>
      <c r="E271" s="57"/>
      <c r="F271" s="57"/>
      <c r="G271" s="57"/>
      <c r="H271" s="57"/>
    </row>
    <row r="272" spans="1:8" x14ac:dyDescent="0.15">
      <c r="A272" s="296" t="s">
        <v>156</v>
      </c>
      <c r="B272" s="54" t="s">
        <v>61</v>
      </c>
      <c r="C272" s="59" t="str">
        <f t="shared" si="10"/>
        <v>煤炭工业资产负债比率</v>
      </c>
      <c r="D272" s="57">
        <v>0.38100000000000001</v>
      </c>
      <c r="E272" s="57">
        <v>0.46800000000000003</v>
      </c>
      <c r="F272" s="57">
        <v>0.54200000000000004</v>
      </c>
      <c r="G272" s="57">
        <v>0.65900000000000003</v>
      </c>
      <c r="H272" s="57">
        <v>0.755</v>
      </c>
    </row>
    <row r="273" spans="1:8" x14ac:dyDescent="0.15">
      <c r="A273" s="296" t="s">
        <v>156</v>
      </c>
      <c r="B273" s="54" t="s">
        <v>62</v>
      </c>
      <c r="C273" s="59" t="str">
        <f t="shared" si="10"/>
        <v>煤炭工业利息保障倍数</v>
      </c>
      <c r="D273" s="58">
        <v>8.1999999999999993</v>
      </c>
      <c r="E273" s="59">
        <v>6.1</v>
      </c>
      <c r="F273" s="58">
        <v>4</v>
      </c>
      <c r="G273" s="58">
        <v>2.1</v>
      </c>
      <c r="H273" s="58">
        <v>-0.6</v>
      </c>
    </row>
    <row r="274" spans="1:8" x14ac:dyDescent="0.15">
      <c r="A274" s="296" t="s">
        <v>156</v>
      </c>
      <c r="B274" s="54" t="s">
        <v>131</v>
      </c>
      <c r="C274" s="59" t="str">
        <f t="shared" si="10"/>
        <v>煤炭工业五、发展能力分析</v>
      </c>
      <c r="D274" s="57"/>
      <c r="E274" s="57"/>
      <c r="F274" s="57"/>
      <c r="G274" s="57"/>
      <c r="H274" s="57"/>
    </row>
    <row r="275" spans="1:8" x14ac:dyDescent="0.15">
      <c r="A275" s="296" t="s">
        <v>156</v>
      </c>
      <c r="B275" s="54" t="s">
        <v>132</v>
      </c>
      <c r="C275" s="59" t="str">
        <f t="shared" si="10"/>
        <v>煤炭工业收入增长率</v>
      </c>
      <c r="D275" s="57">
        <v>0.28399999999999997</v>
      </c>
      <c r="E275" s="57">
        <v>0.23300000000000001</v>
      </c>
      <c r="F275" s="57">
        <v>0.187</v>
      </c>
      <c r="G275" s="57">
        <v>0.105</v>
      </c>
      <c r="H275" s="57">
        <v>4.1000000000000002E-2</v>
      </c>
    </row>
    <row r="276" spans="1:8" x14ac:dyDescent="0.15">
      <c r="A276" s="296" t="s">
        <v>156</v>
      </c>
      <c r="B276" s="59" t="s">
        <v>133</v>
      </c>
      <c r="C276" s="59" t="str">
        <f t="shared" si="10"/>
        <v>煤炭工业资本累积率</v>
      </c>
      <c r="D276" s="57">
        <v>0.23200000000000001</v>
      </c>
      <c r="E276" s="57">
        <v>0.20200000000000001</v>
      </c>
      <c r="F276" s="57">
        <v>0.153</v>
      </c>
      <c r="G276" s="57">
        <v>5.8000000000000003E-2</v>
      </c>
      <c r="H276" s="57">
        <v>1.4E-2</v>
      </c>
    </row>
    <row r="277" spans="1:8" x14ac:dyDescent="0.15">
      <c r="A277" s="296"/>
      <c r="B277" s="59" t="s">
        <v>159</v>
      </c>
      <c r="C277" s="59" t="str">
        <f t="shared" si="10"/>
        <v>煤炭工业总资产增长率</v>
      </c>
      <c r="D277" s="57">
        <v>0.28100000000000003</v>
      </c>
      <c r="E277" s="57">
        <v>0.214</v>
      </c>
      <c r="F277" s="57">
        <v>0.13500000000000001</v>
      </c>
      <c r="G277" s="57">
        <v>5.0000000000000001E-3</v>
      </c>
      <c r="H277" s="57">
        <v>-0.10100000000000001</v>
      </c>
    </row>
    <row r="278" spans="1:8" x14ac:dyDescent="0.15">
      <c r="A278" s="296" t="s">
        <v>156</v>
      </c>
      <c r="B278" s="59" t="s">
        <v>310</v>
      </c>
      <c r="C278" s="59" t="str">
        <f t="shared" si="10"/>
        <v>煤炭工业主营业务利润增长率</v>
      </c>
      <c r="D278" s="57">
        <v>0.28699999999999998</v>
      </c>
      <c r="E278" s="57">
        <v>0.218</v>
      </c>
      <c r="F278" s="57">
        <v>0.153</v>
      </c>
      <c r="G278" s="57">
        <v>1.0999999999999999E-2</v>
      </c>
      <c r="H278" s="57">
        <v>-9.4E-2</v>
      </c>
    </row>
    <row r="279" spans="1:8" x14ac:dyDescent="0.15">
      <c r="A279" s="296" t="s">
        <v>318</v>
      </c>
      <c r="B279" s="54" t="s">
        <v>126</v>
      </c>
      <c r="C279" s="59" t="str">
        <f>$A$279&amp;B279</f>
        <v>结构性金属制品业一、获利能力分析</v>
      </c>
      <c r="D279" s="59"/>
      <c r="E279" s="59"/>
      <c r="F279" s="59"/>
      <c r="G279" s="59"/>
      <c r="H279" s="59"/>
    </row>
    <row r="280" spans="1:8" x14ac:dyDescent="0.15">
      <c r="A280" s="296" t="s">
        <v>156</v>
      </c>
      <c r="B280" s="54" t="s">
        <v>54</v>
      </c>
      <c r="C280" s="59" t="str">
        <f t="shared" ref="C280:C303" si="11">$A$279&amp;B280</f>
        <v>结构性金属制品业股东权益报酬率</v>
      </c>
      <c r="D280" s="57">
        <v>8.7999999999999995E-2</v>
      </c>
      <c r="E280" s="57">
        <v>5.1999999999999998E-2</v>
      </c>
      <c r="F280" s="57">
        <v>0.02</v>
      </c>
      <c r="G280" s="57">
        <v>-5.7000000000000002E-2</v>
      </c>
      <c r="H280" s="57">
        <v>-0.13400000000000001</v>
      </c>
    </row>
    <row r="281" spans="1:8" x14ac:dyDescent="0.15">
      <c r="A281" s="296" t="s">
        <v>156</v>
      </c>
      <c r="B281" s="54" t="s">
        <v>55</v>
      </c>
      <c r="C281" s="59" t="str">
        <f t="shared" si="11"/>
        <v>结构性金属制品业总资产利润率</v>
      </c>
      <c r="D281" s="57">
        <v>5.3999999999999999E-2</v>
      </c>
      <c r="E281" s="57">
        <v>3.6999999999999998E-2</v>
      </c>
      <c r="F281" s="57">
        <v>0.01</v>
      </c>
      <c r="G281" s="57">
        <v>-5.3999999999999999E-2</v>
      </c>
      <c r="H281" s="57">
        <v>-0.125</v>
      </c>
    </row>
    <row r="282" spans="1:8" x14ac:dyDescent="0.15">
      <c r="A282" s="296" t="s">
        <v>156</v>
      </c>
      <c r="B282" s="54" t="s">
        <v>308</v>
      </c>
      <c r="C282" s="59" t="str">
        <f t="shared" si="11"/>
        <v>结构性金属制品业主营业务利润率</v>
      </c>
      <c r="D282" s="57">
        <v>0.161</v>
      </c>
      <c r="E282" s="57">
        <v>0.14399999999999999</v>
      </c>
      <c r="F282" s="57">
        <v>0.12</v>
      </c>
      <c r="G282" s="57">
        <v>4.1000000000000002E-2</v>
      </c>
      <c r="H282" s="57">
        <v>-0.01</v>
      </c>
    </row>
    <row r="283" spans="1:8" x14ac:dyDescent="0.15">
      <c r="A283" s="296" t="s">
        <v>156</v>
      </c>
      <c r="B283" s="54" t="s">
        <v>129</v>
      </c>
      <c r="C283" s="59" t="str">
        <f t="shared" si="11"/>
        <v>结构性金属制品业盈余现金保障倍数</v>
      </c>
      <c r="D283" s="58">
        <v>9.4</v>
      </c>
      <c r="E283" s="58">
        <v>4.9000000000000004</v>
      </c>
      <c r="F283" s="58">
        <v>1.6</v>
      </c>
      <c r="G283" s="58">
        <v>-0.8</v>
      </c>
      <c r="H283" s="58">
        <v>-5.0999999999999996</v>
      </c>
    </row>
    <row r="284" spans="1:8" x14ac:dyDescent="0.15">
      <c r="A284" s="296" t="s">
        <v>156</v>
      </c>
      <c r="B284" s="54" t="s">
        <v>58</v>
      </c>
      <c r="C284" s="59" t="str">
        <f t="shared" si="11"/>
        <v>结构性金属制品业成本费用利润率</v>
      </c>
      <c r="D284" s="57">
        <v>6.8000000000000005E-2</v>
      </c>
      <c r="E284" s="57">
        <v>4.1000000000000002E-2</v>
      </c>
      <c r="F284" s="57">
        <v>1.4E-2</v>
      </c>
      <c r="G284" s="57">
        <v>-5.2999999999999999E-2</v>
      </c>
      <c r="H284" s="57">
        <v>-0.13900000000000001</v>
      </c>
    </row>
    <row r="285" spans="1:8" x14ac:dyDescent="0.15">
      <c r="A285" s="296" t="s">
        <v>156</v>
      </c>
      <c r="B285" s="54" t="s">
        <v>51</v>
      </c>
      <c r="C285" s="59" t="str">
        <f t="shared" si="11"/>
        <v>结构性金属制品业资本收益率</v>
      </c>
      <c r="D285" s="57">
        <v>0.109</v>
      </c>
      <c r="E285" s="57">
        <v>7.0999999999999994E-2</v>
      </c>
      <c r="F285" s="57">
        <v>0.04</v>
      </c>
      <c r="G285" s="57">
        <v>-4.3999999999999997E-2</v>
      </c>
      <c r="H285" s="57">
        <v>-0.14799999999999999</v>
      </c>
    </row>
    <row r="286" spans="1:8" x14ac:dyDescent="0.15">
      <c r="A286" s="296" t="s">
        <v>156</v>
      </c>
      <c r="B286" s="54" t="s">
        <v>134</v>
      </c>
      <c r="C286" s="59" t="str">
        <f t="shared" si="11"/>
        <v>结构性金属制品业二、营运能力分析</v>
      </c>
      <c r="D286" s="57"/>
      <c r="E286" s="57"/>
      <c r="F286" s="57"/>
      <c r="G286" s="57"/>
      <c r="H286" s="57"/>
    </row>
    <row r="287" spans="1:8" x14ac:dyDescent="0.15">
      <c r="A287" s="296" t="s">
        <v>156</v>
      </c>
      <c r="B287" s="54" t="s">
        <v>65</v>
      </c>
      <c r="C287" s="59" t="str">
        <f t="shared" si="11"/>
        <v>结构性金属制品业总资产周转率</v>
      </c>
      <c r="D287" s="58">
        <v>1.8</v>
      </c>
      <c r="E287" s="58">
        <v>1.3</v>
      </c>
      <c r="F287" s="58">
        <v>0.9</v>
      </c>
      <c r="G287" s="58">
        <v>0.7</v>
      </c>
      <c r="H287" s="58">
        <v>0.5</v>
      </c>
    </row>
    <row r="288" spans="1:8" x14ac:dyDescent="0.15">
      <c r="A288" s="296" t="s">
        <v>156</v>
      </c>
      <c r="B288" s="54" t="s">
        <v>67</v>
      </c>
      <c r="C288" s="59" t="str">
        <f t="shared" si="11"/>
        <v>结构性金属制品业应收账款周转率</v>
      </c>
      <c r="D288" s="58">
        <v>11.7</v>
      </c>
      <c r="E288" s="58">
        <v>8.3000000000000007</v>
      </c>
      <c r="F288" s="58">
        <v>4.5</v>
      </c>
      <c r="G288" s="58">
        <v>3.5</v>
      </c>
      <c r="H288" s="58">
        <v>2.2000000000000002</v>
      </c>
    </row>
    <row r="289" spans="1:8" x14ac:dyDescent="0.15">
      <c r="A289" s="296" t="s">
        <v>156</v>
      </c>
      <c r="B289" s="54" t="s">
        <v>130</v>
      </c>
      <c r="C289" s="59" t="str">
        <f t="shared" si="11"/>
        <v>结构性金属制品业流动资产周转率</v>
      </c>
      <c r="D289" s="58">
        <v>3.4</v>
      </c>
      <c r="E289" s="58">
        <v>2.7</v>
      </c>
      <c r="F289" s="58">
        <v>2</v>
      </c>
      <c r="G289" s="58">
        <v>1.6</v>
      </c>
      <c r="H289" s="58">
        <v>1.3</v>
      </c>
    </row>
    <row r="290" spans="1:8" x14ac:dyDescent="0.15">
      <c r="A290" s="296" t="s">
        <v>156</v>
      </c>
      <c r="B290" s="59" t="s">
        <v>135</v>
      </c>
      <c r="C290" s="59" t="str">
        <f t="shared" si="11"/>
        <v>结构性金属制品业资产现金回收率</v>
      </c>
      <c r="D290" s="57">
        <v>0.13200000000000001</v>
      </c>
      <c r="E290" s="57">
        <v>7.6999999999999999E-2</v>
      </c>
      <c r="F290" s="57">
        <v>1.4E-2</v>
      </c>
      <c r="G290" s="57">
        <v>-1.4E-2</v>
      </c>
      <c r="H290" s="57">
        <v>-9.2999999999999999E-2</v>
      </c>
    </row>
    <row r="291" spans="1:8" x14ac:dyDescent="0.15">
      <c r="A291" s="296" t="s">
        <v>156</v>
      </c>
      <c r="B291" s="54" t="s">
        <v>73</v>
      </c>
      <c r="C291" s="59" t="str">
        <f t="shared" si="11"/>
        <v>结构性金属制品业存货周转率</v>
      </c>
      <c r="D291" s="58">
        <v>7.8</v>
      </c>
      <c r="E291" s="58">
        <v>5.6</v>
      </c>
      <c r="F291" s="58">
        <v>3.8</v>
      </c>
      <c r="G291" s="58">
        <v>2.6</v>
      </c>
      <c r="H291" s="58">
        <v>1.9</v>
      </c>
    </row>
    <row r="292" spans="1:8" x14ac:dyDescent="0.15">
      <c r="A292" s="296" t="s">
        <v>156</v>
      </c>
      <c r="B292" s="54" t="s">
        <v>137</v>
      </c>
      <c r="C292" s="59" t="str">
        <f t="shared" si="11"/>
        <v>结构性金属制品业三、短期偿债能力分析</v>
      </c>
      <c r="D292" s="57"/>
      <c r="E292" s="57"/>
      <c r="F292" s="57"/>
      <c r="G292" s="57"/>
      <c r="H292" s="57"/>
    </row>
    <row r="293" spans="1:8" x14ac:dyDescent="0.15">
      <c r="A293" s="296" t="s">
        <v>156</v>
      </c>
      <c r="B293" s="54" t="s">
        <v>179</v>
      </c>
      <c r="C293" s="59" t="str">
        <f t="shared" si="11"/>
        <v>结构性金属制品业带息负债比率</v>
      </c>
      <c r="D293" s="57">
        <v>0.27500000000000002</v>
      </c>
      <c r="E293" s="57">
        <v>0.38600000000000001</v>
      </c>
      <c r="F293" s="57">
        <v>0.42099999999999999</v>
      </c>
      <c r="G293" s="57">
        <v>0.61899999999999999</v>
      </c>
      <c r="H293" s="57">
        <v>0.69099999999999995</v>
      </c>
    </row>
    <row r="294" spans="1:8" x14ac:dyDescent="0.15">
      <c r="A294" s="296" t="s">
        <v>156</v>
      </c>
      <c r="B294" s="54" t="s">
        <v>60</v>
      </c>
      <c r="C294" s="59" t="str">
        <f t="shared" si="11"/>
        <v>结构性金属制品业速动比率</v>
      </c>
      <c r="D294" s="57">
        <v>1.635</v>
      </c>
      <c r="E294" s="57">
        <v>1.079</v>
      </c>
      <c r="F294" s="57">
        <v>0.68</v>
      </c>
      <c r="G294" s="57">
        <v>0.51500000000000001</v>
      </c>
      <c r="H294" s="57">
        <v>0.30199999999999999</v>
      </c>
    </row>
    <row r="295" spans="1:8" x14ac:dyDescent="0.15">
      <c r="A295" s="296" t="s">
        <v>156</v>
      </c>
      <c r="B295" s="60" t="s">
        <v>148</v>
      </c>
      <c r="C295" s="59" t="str">
        <f t="shared" si="11"/>
        <v>结构性金属制品业现金流动负债比率</v>
      </c>
      <c r="D295" s="57">
        <v>0.16300000000000001</v>
      </c>
      <c r="E295" s="57">
        <v>0.124</v>
      </c>
      <c r="F295" s="57">
        <v>0.05</v>
      </c>
      <c r="G295" s="57">
        <v>-1.6E-2</v>
      </c>
      <c r="H295" s="57">
        <v>-0.10299999999999999</v>
      </c>
    </row>
    <row r="296" spans="1:8" x14ac:dyDescent="0.15">
      <c r="A296" s="296" t="s">
        <v>156</v>
      </c>
      <c r="B296" s="54" t="s">
        <v>138</v>
      </c>
      <c r="C296" s="59" t="str">
        <f t="shared" si="11"/>
        <v>结构性金属制品业四、长期偿债能力分析</v>
      </c>
      <c r="D296" s="57"/>
      <c r="E296" s="57"/>
      <c r="F296" s="57"/>
      <c r="G296" s="57"/>
      <c r="H296" s="57"/>
    </row>
    <row r="297" spans="1:8" x14ac:dyDescent="0.15">
      <c r="A297" s="296" t="s">
        <v>156</v>
      </c>
      <c r="B297" s="54" t="s">
        <v>61</v>
      </c>
      <c r="C297" s="59" t="str">
        <f t="shared" si="11"/>
        <v>结构性金属制品业资产负债比率</v>
      </c>
      <c r="D297" s="57">
        <v>0.47899999999999998</v>
      </c>
      <c r="E297" s="57">
        <v>0.64900000000000002</v>
      </c>
      <c r="F297" s="57">
        <v>0.83</v>
      </c>
      <c r="G297" s="57">
        <v>0.89</v>
      </c>
      <c r="H297" s="57">
        <v>0.95699999999999996</v>
      </c>
    </row>
    <row r="298" spans="1:8" x14ac:dyDescent="0.15">
      <c r="A298" s="296" t="s">
        <v>156</v>
      </c>
      <c r="B298" s="54" t="s">
        <v>62</v>
      </c>
      <c r="C298" s="59" t="str">
        <f t="shared" si="11"/>
        <v>结构性金属制品业利息保障倍数</v>
      </c>
      <c r="D298" s="58"/>
      <c r="E298" s="59"/>
      <c r="F298" s="58"/>
      <c r="G298" s="58"/>
      <c r="H298" s="58"/>
    </row>
    <row r="299" spans="1:8" x14ac:dyDescent="0.15">
      <c r="A299" s="296" t="s">
        <v>156</v>
      </c>
      <c r="B299" s="54" t="s">
        <v>131</v>
      </c>
      <c r="C299" s="59" t="str">
        <f t="shared" si="11"/>
        <v>结构性金属制品业五、发展能力分析</v>
      </c>
      <c r="D299" s="57"/>
      <c r="E299" s="57"/>
      <c r="F299" s="57"/>
      <c r="G299" s="57"/>
      <c r="H299" s="57"/>
    </row>
    <row r="300" spans="1:8" x14ac:dyDescent="0.15">
      <c r="A300" s="296" t="s">
        <v>156</v>
      </c>
      <c r="B300" s="54" t="s">
        <v>132</v>
      </c>
      <c r="C300" s="59" t="str">
        <f t="shared" si="11"/>
        <v>结构性金属制品业收入增长率</v>
      </c>
      <c r="D300" s="57">
        <v>0.127</v>
      </c>
      <c r="E300" s="57">
        <v>7.2999999999999995E-2</v>
      </c>
      <c r="F300" s="57">
        <v>2.1000000000000001E-2</v>
      </c>
      <c r="G300" s="57">
        <v>-3.1E-2</v>
      </c>
      <c r="H300" s="57">
        <v>-0.115</v>
      </c>
    </row>
    <row r="301" spans="1:8" x14ac:dyDescent="0.15">
      <c r="A301" s="296" t="s">
        <v>156</v>
      </c>
      <c r="B301" s="59" t="s">
        <v>133</v>
      </c>
      <c r="C301" s="59" t="str">
        <f t="shared" si="11"/>
        <v>结构性金属制品业资本累积率</v>
      </c>
      <c r="D301" s="57">
        <v>0.105</v>
      </c>
      <c r="E301" s="57">
        <v>0.05</v>
      </c>
      <c r="F301" s="57">
        <v>1.0999999999999999E-2</v>
      </c>
      <c r="G301" s="57">
        <v>-3.7999999999999999E-2</v>
      </c>
      <c r="H301" s="57">
        <v>-0.13100000000000001</v>
      </c>
    </row>
    <row r="302" spans="1:8" x14ac:dyDescent="0.15">
      <c r="A302" s="296"/>
      <c r="B302" s="59" t="s">
        <v>159</v>
      </c>
      <c r="C302" s="59" t="str">
        <f t="shared" si="11"/>
        <v>结构性金属制品业总资产增长率</v>
      </c>
      <c r="D302" s="57">
        <v>0.13200000000000001</v>
      </c>
      <c r="E302" s="57">
        <v>8.5000000000000006E-2</v>
      </c>
      <c r="F302" s="57">
        <v>2.5999999999999999E-2</v>
      </c>
      <c r="G302" s="57">
        <v>-4.4999999999999998E-2</v>
      </c>
      <c r="H302" s="57">
        <v>-0.104</v>
      </c>
    </row>
    <row r="303" spans="1:8" x14ac:dyDescent="0.15">
      <c r="A303" s="296" t="s">
        <v>156</v>
      </c>
      <c r="B303" s="59" t="s">
        <v>310</v>
      </c>
      <c r="C303" s="59" t="str">
        <f t="shared" si="11"/>
        <v>结构性金属制品业主营业务利润增长率</v>
      </c>
      <c r="D303" s="57">
        <v>0.16900000000000001</v>
      </c>
      <c r="E303" s="57">
        <v>0.13300000000000001</v>
      </c>
      <c r="F303" s="57">
        <v>8.3000000000000004E-2</v>
      </c>
      <c r="G303" s="57">
        <v>-2.1000000000000001E-2</v>
      </c>
      <c r="H303" s="57">
        <v>-0.13200000000000001</v>
      </c>
    </row>
    <row r="304" spans="1:8" x14ac:dyDescent="0.15">
      <c r="A304" s="296" t="s">
        <v>320</v>
      </c>
      <c r="B304" s="54" t="s">
        <v>126</v>
      </c>
      <c r="C304" s="59" t="str">
        <f>$A$304&amp;B304</f>
        <v>化学药品原药、制剂制造业一、获利能力分析</v>
      </c>
      <c r="D304" s="59"/>
      <c r="E304" s="59"/>
      <c r="F304" s="59"/>
      <c r="G304" s="59"/>
      <c r="H304" s="59"/>
    </row>
    <row r="305" spans="1:8" x14ac:dyDescent="0.15">
      <c r="A305" s="296" t="s">
        <v>156</v>
      </c>
      <c r="B305" s="54" t="s">
        <v>54</v>
      </c>
      <c r="C305" s="59" t="str">
        <f t="shared" ref="C305:C328" si="12">$A$304&amp;B305</f>
        <v>化学药品原药、制剂制造业股东权益报酬率</v>
      </c>
      <c r="D305" s="93">
        <v>0.13800000000000001</v>
      </c>
      <c r="E305" s="93">
        <v>9.6000000000000002E-2</v>
      </c>
      <c r="F305" s="93">
        <v>5.2999999999999999E-2</v>
      </c>
      <c r="G305" s="93">
        <v>-1.4E-2</v>
      </c>
      <c r="H305" s="93">
        <v>-7.6999999999999999E-2</v>
      </c>
    </row>
    <row r="306" spans="1:8" x14ac:dyDescent="0.15">
      <c r="A306" s="296" t="s">
        <v>156</v>
      </c>
      <c r="B306" s="54" t="s">
        <v>55</v>
      </c>
      <c r="C306" s="59" t="str">
        <f t="shared" si="12"/>
        <v>化学药品原药、制剂制造业总资产利润率</v>
      </c>
      <c r="D306" s="93">
        <v>9.8000000000000004E-2</v>
      </c>
      <c r="E306" s="93">
        <v>6.7000000000000004E-2</v>
      </c>
      <c r="F306" s="93">
        <v>0.04</v>
      </c>
      <c r="G306" s="93">
        <v>-9.0000000000000011E-3</v>
      </c>
      <c r="H306" s="93">
        <v>-5.9000000000000004E-2</v>
      </c>
    </row>
    <row r="307" spans="1:8" x14ac:dyDescent="0.15">
      <c r="A307" s="296" t="s">
        <v>156</v>
      </c>
      <c r="B307" s="54" t="s">
        <v>308</v>
      </c>
      <c r="C307" s="59" t="str">
        <f t="shared" si="12"/>
        <v>化学药品原药、制剂制造业主营业务利润率</v>
      </c>
      <c r="D307" s="93">
        <v>0.34899999999999998</v>
      </c>
      <c r="E307" s="93">
        <v>0.28600000000000003</v>
      </c>
      <c r="F307" s="93">
        <v>0.218</v>
      </c>
      <c r="G307" s="93">
        <v>0.14099999999999999</v>
      </c>
      <c r="H307" s="93">
        <v>3.6000000000000004E-2</v>
      </c>
    </row>
    <row r="308" spans="1:8" x14ac:dyDescent="0.15">
      <c r="A308" s="296" t="s">
        <v>156</v>
      </c>
      <c r="B308" s="54" t="s">
        <v>129</v>
      </c>
      <c r="C308" s="59" t="str">
        <f t="shared" si="12"/>
        <v>化学药品原药、制剂制造业盈余现金保障倍数</v>
      </c>
      <c r="D308" s="64">
        <v>6.2</v>
      </c>
      <c r="E308" s="64">
        <v>3</v>
      </c>
      <c r="F308" s="64">
        <v>1.7</v>
      </c>
      <c r="G308" s="64">
        <v>0.1</v>
      </c>
      <c r="H308" s="64">
        <v>-0.9</v>
      </c>
    </row>
    <row r="309" spans="1:8" x14ac:dyDescent="0.15">
      <c r="A309" s="296" t="s">
        <v>156</v>
      </c>
      <c r="B309" s="54" t="s">
        <v>58</v>
      </c>
      <c r="C309" s="59" t="str">
        <f t="shared" si="12"/>
        <v>化学药品原药、制剂制造业成本费用利润率</v>
      </c>
      <c r="D309" s="93">
        <v>0.16600000000000001</v>
      </c>
      <c r="E309" s="93">
        <v>9.9000000000000005E-2</v>
      </c>
      <c r="F309" s="93">
        <v>5.2000000000000005E-2</v>
      </c>
      <c r="G309" s="93">
        <v>-0.01</v>
      </c>
      <c r="H309" s="93">
        <v>-0.115</v>
      </c>
    </row>
    <row r="310" spans="1:8" x14ac:dyDescent="0.15">
      <c r="A310" s="296" t="s">
        <v>156</v>
      </c>
      <c r="B310" s="54" t="s">
        <v>51</v>
      </c>
      <c r="C310" s="59" t="str">
        <f t="shared" si="12"/>
        <v>化学药品原药、制剂制造业资本收益率</v>
      </c>
      <c r="D310" s="93">
        <v>0.17199999999999999</v>
      </c>
      <c r="E310" s="93">
        <v>9.9000000000000005E-2</v>
      </c>
      <c r="F310" s="93">
        <v>3.5000000000000003E-2</v>
      </c>
      <c r="G310" s="93">
        <v>-0.06</v>
      </c>
      <c r="H310" s="93">
        <v>-9.3000000000000013E-2</v>
      </c>
    </row>
    <row r="311" spans="1:8" x14ac:dyDescent="0.15">
      <c r="A311" s="296" t="s">
        <v>156</v>
      </c>
      <c r="B311" s="54" t="s">
        <v>134</v>
      </c>
      <c r="C311" s="59" t="str">
        <f t="shared" si="12"/>
        <v>化学药品原药、制剂制造业二、营运能力分析</v>
      </c>
      <c r="D311" s="57"/>
      <c r="E311" s="57"/>
      <c r="F311" s="57"/>
      <c r="G311" s="57"/>
      <c r="H311" s="57"/>
    </row>
    <row r="312" spans="1:8" x14ac:dyDescent="0.15">
      <c r="A312" s="296" t="s">
        <v>156</v>
      </c>
      <c r="B312" s="54" t="s">
        <v>65</v>
      </c>
      <c r="C312" s="59" t="str">
        <f t="shared" si="12"/>
        <v>化学药品原药、制剂制造业总资产周转率</v>
      </c>
      <c r="D312" s="64">
        <v>1.8</v>
      </c>
      <c r="E312" s="64">
        <v>1.3</v>
      </c>
      <c r="F312" s="64">
        <v>0.9</v>
      </c>
      <c r="G312" s="64">
        <v>0.7</v>
      </c>
      <c r="H312" s="64">
        <v>0.4</v>
      </c>
    </row>
    <row r="313" spans="1:8" x14ac:dyDescent="0.15">
      <c r="A313" s="296" t="s">
        <v>156</v>
      </c>
      <c r="B313" s="54" t="s">
        <v>67</v>
      </c>
      <c r="C313" s="59" t="str">
        <f t="shared" si="12"/>
        <v>化学药品原药、制剂制造业应收账款周转率</v>
      </c>
      <c r="D313" s="64">
        <v>9.4</v>
      </c>
      <c r="E313" s="64">
        <v>7.1</v>
      </c>
      <c r="F313" s="64">
        <v>4.7</v>
      </c>
      <c r="G313" s="64">
        <v>3.2</v>
      </c>
      <c r="H313" s="64">
        <v>1.9</v>
      </c>
    </row>
    <row r="314" spans="1:8" x14ac:dyDescent="0.15">
      <c r="A314" s="296" t="s">
        <v>156</v>
      </c>
      <c r="B314" s="54" t="s">
        <v>130</v>
      </c>
      <c r="C314" s="59" t="str">
        <f t="shared" si="12"/>
        <v>化学药品原药、制剂制造业流动资产周转率</v>
      </c>
      <c r="D314" s="64">
        <v>2.7</v>
      </c>
      <c r="E314" s="64">
        <v>2.1</v>
      </c>
      <c r="F314" s="64">
        <v>1.4</v>
      </c>
      <c r="G314" s="64">
        <v>1.1000000000000001</v>
      </c>
      <c r="H314" s="64">
        <v>0.5</v>
      </c>
    </row>
    <row r="315" spans="1:8" x14ac:dyDescent="0.15">
      <c r="A315" s="296" t="s">
        <v>156</v>
      </c>
      <c r="B315" s="59" t="s">
        <v>135</v>
      </c>
      <c r="C315" s="59" t="str">
        <f t="shared" si="12"/>
        <v>化学药品原药、制剂制造业资产现金回收率</v>
      </c>
      <c r="D315" s="64">
        <v>14.5</v>
      </c>
      <c r="E315" s="64">
        <v>9.6999999999999993</v>
      </c>
      <c r="F315" s="64">
        <v>3.7</v>
      </c>
      <c r="G315" s="64">
        <v>0.4</v>
      </c>
      <c r="H315" s="64">
        <v>-5.6</v>
      </c>
    </row>
    <row r="316" spans="1:8" x14ac:dyDescent="0.15">
      <c r="A316" s="296" t="s">
        <v>156</v>
      </c>
      <c r="B316" s="54" t="s">
        <v>73</v>
      </c>
      <c r="C316" s="59" t="str">
        <f t="shared" si="12"/>
        <v>化学药品原药、制剂制造业存货周转率</v>
      </c>
      <c r="D316" s="57">
        <v>0.14499999999999999</v>
      </c>
      <c r="E316" s="57">
        <v>9.6999999999999989E-2</v>
      </c>
      <c r="F316" s="57">
        <v>3.7000000000000005E-2</v>
      </c>
      <c r="G316" s="57">
        <v>4.0000000000000001E-3</v>
      </c>
      <c r="H316" s="57">
        <v>-5.5999999999999994E-2</v>
      </c>
    </row>
    <row r="317" spans="1:8" x14ac:dyDescent="0.15">
      <c r="A317" s="296" t="s">
        <v>156</v>
      </c>
      <c r="B317" s="54" t="s">
        <v>137</v>
      </c>
      <c r="C317" s="59" t="str">
        <f t="shared" si="12"/>
        <v>化学药品原药、制剂制造业三、短期偿债能力分析</v>
      </c>
      <c r="D317" s="56"/>
      <c r="E317" s="56"/>
      <c r="F317" s="56"/>
      <c r="G317" s="56"/>
      <c r="H317" s="56"/>
    </row>
    <row r="318" spans="1:8" x14ac:dyDescent="0.15">
      <c r="A318" s="296" t="s">
        <v>156</v>
      </c>
      <c r="B318" s="54" t="s">
        <v>179</v>
      </c>
      <c r="C318" s="59" t="str">
        <f t="shared" si="12"/>
        <v>化学药品原药、制剂制造业带息负债比率</v>
      </c>
      <c r="D318" s="56">
        <v>0.37</v>
      </c>
      <c r="E318" s="56">
        <v>0.47299999999999998</v>
      </c>
      <c r="F318" s="56">
        <v>0.59</v>
      </c>
      <c r="G318" s="56">
        <v>0.75900000000000001</v>
      </c>
      <c r="H318" s="56">
        <v>0.85299999999999998</v>
      </c>
    </row>
    <row r="319" spans="1:8" x14ac:dyDescent="0.15">
      <c r="A319" s="296" t="s">
        <v>156</v>
      </c>
      <c r="B319" s="54" t="s">
        <v>60</v>
      </c>
      <c r="C319" s="59" t="str">
        <f t="shared" si="12"/>
        <v>化学药品原药、制剂制造业速动比率</v>
      </c>
      <c r="D319" s="56">
        <v>1.32</v>
      </c>
      <c r="E319" s="56">
        <v>1.101</v>
      </c>
      <c r="F319" s="56">
        <v>0.71099999999999997</v>
      </c>
      <c r="G319" s="56">
        <v>0.52800000000000002</v>
      </c>
      <c r="H319" s="56">
        <v>0.39899999999999997</v>
      </c>
    </row>
    <row r="320" spans="1:8" x14ac:dyDescent="0.15">
      <c r="A320" s="296" t="s">
        <v>156</v>
      </c>
      <c r="B320" s="60" t="s">
        <v>148</v>
      </c>
      <c r="C320" s="59" t="str">
        <f t="shared" si="12"/>
        <v>化学药品原药、制剂制造业现金流动负债比率</v>
      </c>
      <c r="D320" s="56">
        <v>0.23699999999999999</v>
      </c>
      <c r="E320" s="56">
        <v>0.14400000000000002</v>
      </c>
      <c r="F320" s="56">
        <v>7.400000000000001E-2</v>
      </c>
      <c r="G320" s="56">
        <v>6.9999999999999993E-3</v>
      </c>
      <c r="H320" s="56">
        <v>-5.9000000000000004E-2</v>
      </c>
    </row>
    <row r="321" spans="1:8" x14ac:dyDescent="0.15">
      <c r="A321" s="296" t="s">
        <v>156</v>
      </c>
      <c r="B321" s="54" t="s">
        <v>138</v>
      </c>
      <c r="C321" s="59" t="str">
        <f t="shared" si="12"/>
        <v>化学药品原药、制剂制造业四、长期偿债能力分析</v>
      </c>
      <c r="D321" s="56"/>
      <c r="E321" s="56"/>
      <c r="F321" s="56"/>
      <c r="G321" s="56"/>
      <c r="H321" s="56"/>
    </row>
    <row r="322" spans="1:8" x14ac:dyDescent="0.15">
      <c r="A322" s="296" t="s">
        <v>156</v>
      </c>
      <c r="B322" s="54" t="s">
        <v>61</v>
      </c>
      <c r="C322" s="59" t="str">
        <f t="shared" si="12"/>
        <v>化学药品原药、制剂制造业资产负债比率</v>
      </c>
      <c r="D322" s="56">
        <v>0.40500000000000003</v>
      </c>
      <c r="E322" s="56">
        <v>0.48799999999999999</v>
      </c>
      <c r="F322" s="56">
        <v>0.60699999999999998</v>
      </c>
      <c r="G322" s="56">
        <v>0.77300000000000002</v>
      </c>
      <c r="H322" s="56">
        <v>0.85699999999999998</v>
      </c>
    </row>
    <row r="323" spans="1:8" x14ac:dyDescent="0.15">
      <c r="A323" s="296" t="s">
        <v>156</v>
      </c>
      <c r="B323" s="54" t="s">
        <v>62</v>
      </c>
      <c r="C323" s="59" t="str">
        <f t="shared" si="12"/>
        <v>化学药品原药、制剂制造业利息保障倍数</v>
      </c>
      <c r="D323" s="64">
        <v>7.2</v>
      </c>
      <c r="E323" s="59">
        <v>4.7</v>
      </c>
      <c r="F323" s="64">
        <v>2.8</v>
      </c>
      <c r="G323" s="64">
        <v>-0.2</v>
      </c>
      <c r="H323" s="64">
        <v>-2.4</v>
      </c>
    </row>
    <row r="324" spans="1:8" x14ac:dyDescent="0.15">
      <c r="A324" s="296" t="s">
        <v>156</v>
      </c>
      <c r="B324" s="54" t="s">
        <v>131</v>
      </c>
      <c r="C324" s="59" t="str">
        <f t="shared" si="12"/>
        <v>化学药品原药、制剂制造业五、发展能力分析</v>
      </c>
      <c r="D324" s="57"/>
      <c r="E324" s="57"/>
      <c r="F324" s="57"/>
      <c r="G324" s="57"/>
      <c r="H324" s="57"/>
    </row>
    <row r="325" spans="1:8" x14ac:dyDescent="0.15">
      <c r="A325" s="296" t="s">
        <v>156</v>
      </c>
      <c r="B325" s="54" t="s">
        <v>132</v>
      </c>
      <c r="C325" s="59" t="str">
        <f t="shared" si="12"/>
        <v>化学药品原药、制剂制造业收入增长率</v>
      </c>
      <c r="D325" s="57">
        <v>0.221</v>
      </c>
      <c r="E325" s="57">
        <v>0.13</v>
      </c>
      <c r="F325" s="57">
        <v>5.7000000000000002E-2</v>
      </c>
      <c r="G325" s="57">
        <v>-3.9E-2</v>
      </c>
      <c r="H325" s="57">
        <v>-0.127</v>
      </c>
    </row>
    <row r="326" spans="1:8" x14ac:dyDescent="0.15">
      <c r="A326" s="296" t="s">
        <v>156</v>
      </c>
      <c r="B326" s="59" t="s">
        <v>133</v>
      </c>
      <c r="C326" s="59" t="str">
        <f t="shared" si="12"/>
        <v>化学药品原药、制剂制造业资本累积率</v>
      </c>
      <c r="D326" s="57">
        <v>1.135</v>
      </c>
      <c r="E326" s="57">
        <v>1.087</v>
      </c>
      <c r="F326" s="57">
        <v>1.0409999999999999</v>
      </c>
      <c r="G326" s="57">
        <v>0.98199999999999998</v>
      </c>
      <c r="H326" s="57">
        <v>0.90700000000000003</v>
      </c>
    </row>
    <row r="327" spans="1:8" x14ac:dyDescent="0.15">
      <c r="A327" s="296"/>
      <c r="B327" s="59" t="s">
        <v>159</v>
      </c>
      <c r="C327" s="59" t="str">
        <f t="shared" si="12"/>
        <v>化学药品原药、制剂制造业总资产增长率</v>
      </c>
      <c r="D327" s="57">
        <v>0.161</v>
      </c>
      <c r="E327" s="57">
        <v>0.11</v>
      </c>
      <c r="F327" s="57">
        <v>3.6000000000000004E-2</v>
      </c>
      <c r="G327" s="57">
        <v>-4.7E-2</v>
      </c>
      <c r="H327" s="57">
        <v>-9.6000000000000002E-2</v>
      </c>
    </row>
    <row r="328" spans="1:8" x14ac:dyDescent="0.15">
      <c r="A328" s="296" t="s">
        <v>156</v>
      </c>
      <c r="B328" s="59" t="s">
        <v>310</v>
      </c>
      <c r="C328" s="59" t="str">
        <f t="shared" si="12"/>
        <v>化学药品原药、制剂制造业主营业务利润增长率</v>
      </c>
      <c r="D328" s="57">
        <v>0.215</v>
      </c>
      <c r="E328" s="57">
        <v>0.122</v>
      </c>
      <c r="F328" s="57">
        <v>3.1E-2</v>
      </c>
      <c r="G328" s="57">
        <v>-7.2000000000000008E-2</v>
      </c>
      <c r="H328" s="57">
        <v>-0.16</v>
      </c>
    </row>
    <row r="329" spans="1:8" x14ac:dyDescent="0.15">
      <c r="A329" s="296" t="s">
        <v>321</v>
      </c>
      <c r="B329" s="54" t="s">
        <v>126</v>
      </c>
      <c r="C329" s="59" t="str">
        <f>$A$329&amp;B329</f>
        <v>投资公司一、获利能力分析</v>
      </c>
      <c r="D329" s="59"/>
      <c r="E329" s="59"/>
      <c r="F329" s="59"/>
      <c r="G329" s="59"/>
      <c r="H329" s="59"/>
    </row>
    <row r="330" spans="1:8" x14ac:dyDescent="0.15">
      <c r="A330" s="296" t="s">
        <v>156</v>
      </c>
      <c r="B330" s="54" t="s">
        <v>54</v>
      </c>
      <c r="C330" s="59" t="str">
        <f t="shared" ref="C330:C353" si="13">$A$329&amp;B330</f>
        <v>投资公司股东权益报酬率</v>
      </c>
      <c r="D330" s="57">
        <v>9.8000000000000004E-2</v>
      </c>
      <c r="E330" s="57">
        <v>6.8000000000000005E-2</v>
      </c>
      <c r="F330" s="57">
        <v>4.0999999999999995E-2</v>
      </c>
      <c r="G330" s="57">
        <v>-0.01</v>
      </c>
      <c r="H330" s="57">
        <v>-5.7999999999999996E-2</v>
      </c>
    </row>
    <row r="331" spans="1:8" x14ac:dyDescent="0.15">
      <c r="A331" s="296" t="s">
        <v>156</v>
      </c>
      <c r="B331" s="54" t="s">
        <v>55</v>
      </c>
      <c r="C331" s="59" t="str">
        <f t="shared" si="13"/>
        <v>投资公司总资产利润率</v>
      </c>
      <c r="D331" s="57">
        <v>7.0999999999999994E-2</v>
      </c>
      <c r="E331" s="57">
        <v>0.05</v>
      </c>
      <c r="F331" s="57">
        <v>0.03</v>
      </c>
      <c r="G331" s="57">
        <v>-2E-3</v>
      </c>
      <c r="H331" s="57">
        <v>-4.4999999999999998E-2</v>
      </c>
    </row>
    <row r="332" spans="1:8" x14ac:dyDescent="0.15">
      <c r="A332" s="296" t="s">
        <v>156</v>
      </c>
      <c r="B332" s="54" t="s">
        <v>308</v>
      </c>
      <c r="C332" s="59" t="str">
        <f t="shared" si="13"/>
        <v>投资公司主营业务利润率</v>
      </c>
      <c r="D332" s="57">
        <v>0.25900000000000001</v>
      </c>
      <c r="E332" s="57">
        <v>0.21600000000000003</v>
      </c>
      <c r="F332" s="57">
        <v>0.17899999999999999</v>
      </c>
      <c r="G332" s="57">
        <v>0.126</v>
      </c>
      <c r="H332" s="57">
        <v>6.0999999999999999E-2</v>
      </c>
    </row>
    <row r="333" spans="1:8" x14ac:dyDescent="0.15">
      <c r="A333" s="296" t="s">
        <v>156</v>
      </c>
      <c r="B333" s="54" t="s">
        <v>129</v>
      </c>
      <c r="C333" s="59" t="str">
        <f t="shared" si="13"/>
        <v>投资公司盈余现金保障倍数</v>
      </c>
      <c r="D333" s="57">
        <v>5.2999999999999999E-2</v>
      </c>
      <c r="E333" s="57">
        <v>0.02</v>
      </c>
      <c r="F333" s="57">
        <v>5.0000000000000001E-3</v>
      </c>
      <c r="G333" s="57">
        <v>-8.0000000000000002E-3</v>
      </c>
      <c r="H333" s="57">
        <v>-5.5E-2</v>
      </c>
    </row>
    <row r="334" spans="1:8" x14ac:dyDescent="0.15">
      <c r="A334" s="296" t="s">
        <v>156</v>
      </c>
      <c r="B334" s="54" t="s">
        <v>58</v>
      </c>
      <c r="C334" s="59" t="str">
        <f t="shared" si="13"/>
        <v>投资公司成本费用利润率</v>
      </c>
      <c r="D334" s="57">
        <v>0.21600000000000003</v>
      </c>
      <c r="E334" s="57">
        <v>0.14400000000000002</v>
      </c>
      <c r="F334" s="57">
        <v>7.8E-2</v>
      </c>
      <c r="G334" s="57">
        <v>1.3999999999999999E-2</v>
      </c>
      <c r="H334" s="57">
        <v>-0.1</v>
      </c>
    </row>
    <row r="335" spans="1:8" x14ac:dyDescent="0.15">
      <c r="A335" s="296" t="s">
        <v>156</v>
      </c>
      <c r="B335" s="54" t="s">
        <v>51</v>
      </c>
      <c r="C335" s="59" t="str">
        <f t="shared" si="13"/>
        <v>投资公司资本收益率</v>
      </c>
      <c r="D335" s="57">
        <v>0.10199999999999999</v>
      </c>
      <c r="E335" s="57">
        <v>6.9000000000000006E-2</v>
      </c>
      <c r="F335" s="57">
        <v>3.9E-2</v>
      </c>
      <c r="G335" s="57">
        <v>-1.3999999999999999E-2</v>
      </c>
      <c r="H335" s="57">
        <v>-5.5E-2</v>
      </c>
    </row>
    <row r="336" spans="1:8" x14ac:dyDescent="0.15">
      <c r="A336" s="296" t="s">
        <v>156</v>
      </c>
      <c r="B336" s="54" t="s">
        <v>134</v>
      </c>
      <c r="C336" s="59" t="str">
        <f t="shared" si="13"/>
        <v>投资公司二、营运能力分析</v>
      </c>
      <c r="D336" s="57"/>
      <c r="E336" s="57"/>
      <c r="F336" s="57"/>
      <c r="G336" s="57"/>
      <c r="H336" s="57"/>
    </row>
    <row r="337" spans="1:8" x14ac:dyDescent="0.15">
      <c r="A337" s="296" t="s">
        <v>156</v>
      </c>
      <c r="B337" s="54" t="s">
        <v>65</v>
      </c>
      <c r="C337" s="59" t="str">
        <f t="shared" si="13"/>
        <v>投资公司总资产周转率</v>
      </c>
      <c r="D337" s="64">
        <v>1.2</v>
      </c>
      <c r="E337" s="64">
        <v>0.7</v>
      </c>
      <c r="F337" s="64">
        <v>0.3</v>
      </c>
      <c r="G337" s="64">
        <v>0.2</v>
      </c>
      <c r="H337" s="64">
        <v>0.1</v>
      </c>
    </row>
    <row r="338" spans="1:8" x14ac:dyDescent="0.15">
      <c r="A338" s="296" t="s">
        <v>156</v>
      </c>
      <c r="B338" s="54" t="s">
        <v>67</v>
      </c>
      <c r="C338" s="59" t="str">
        <f t="shared" si="13"/>
        <v>投资公司应收账款周转率</v>
      </c>
      <c r="D338" s="64">
        <v>12.5</v>
      </c>
      <c r="E338" s="64">
        <v>7.6</v>
      </c>
      <c r="F338" s="64">
        <v>5</v>
      </c>
      <c r="G338" s="64">
        <v>3.5</v>
      </c>
      <c r="H338" s="64">
        <v>1.9</v>
      </c>
    </row>
    <row r="339" spans="1:8" x14ac:dyDescent="0.15">
      <c r="A339" s="296" t="s">
        <v>156</v>
      </c>
      <c r="B339" s="54" t="s">
        <v>130</v>
      </c>
      <c r="C339" s="59" t="str">
        <f t="shared" si="13"/>
        <v>投资公司流动资产周转率</v>
      </c>
      <c r="D339" s="64">
        <v>1.5</v>
      </c>
      <c r="E339" s="64">
        <v>1</v>
      </c>
      <c r="F339" s="64">
        <v>0.5</v>
      </c>
      <c r="G339" s="64">
        <v>0.4</v>
      </c>
      <c r="H339" s="64">
        <v>0.3</v>
      </c>
    </row>
    <row r="340" spans="1:8" x14ac:dyDescent="0.15">
      <c r="A340" s="296" t="s">
        <v>156</v>
      </c>
      <c r="B340" s="59" t="s">
        <v>135</v>
      </c>
      <c r="C340" s="59" t="str">
        <f t="shared" si="13"/>
        <v>投资公司资产现金回收率</v>
      </c>
      <c r="D340" s="64">
        <v>7.9</v>
      </c>
      <c r="E340" s="64">
        <v>4.0999999999999996</v>
      </c>
      <c r="F340" s="64">
        <v>2</v>
      </c>
      <c r="G340" s="64">
        <v>-3.2</v>
      </c>
      <c r="H340" s="64">
        <v>-9.8000000000000007</v>
      </c>
    </row>
    <row r="341" spans="1:8" x14ac:dyDescent="0.15">
      <c r="A341" s="296" t="s">
        <v>156</v>
      </c>
      <c r="B341" s="54" t="s">
        <v>73</v>
      </c>
      <c r="C341" s="59" t="str">
        <f t="shared" si="13"/>
        <v>投资公司存货周转率</v>
      </c>
      <c r="D341" s="64">
        <v>18.3</v>
      </c>
      <c r="E341" s="64">
        <v>9.1</v>
      </c>
      <c r="F341" s="64">
        <v>3.6</v>
      </c>
      <c r="G341" s="64">
        <v>2.2999999999999998</v>
      </c>
      <c r="H341" s="64">
        <v>1.9</v>
      </c>
    </row>
    <row r="342" spans="1:8" x14ac:dyDescent="0.15">
      <c r="A342" s="296" t="s">
        <v>156</v>
      </c>
      <c r="B342" s="54" t="s">
        <v>137</v>
      </c>
      <c r="C342" s="59" t="str">
        <f t="shared" si="13"/>
        <v>投资公司三、短期偿债能力分析</v>
      </c>
      <c r="D342" s="56"/>
      <c r="E342" s="56"/>
      <c r="F342" s="56"/>
      <c r="G342" s="56"/>
      <c r="H342" s="56"/>
    </row>
    <row r="343" spans="1:8" x14ac:dyDescent="0.15">
      <c r="A343" s="296" t="s">
        <v>156</v>
      </c>
      <c r="B343" s="54" t="s">
        <v>179</v>
      </c>
      <c r="C343" s="59" t="str">
        <f t="shared" si="13"/>
        <v>投资公司带息负债比率</v>
      </c>
      <c r="D343" s="64">
        <v>0.40799999999999997</v>
      </c>
      <c r="E343" s="64">
        <v>0.54799999999999993</v>
      </c>
      <c r="F343" s="64">
        <v>0.67299999999999993</v>
      </c>
      <c r="G343" s="64">
        <v>0.77300000000000002</v>
      </c>
      <c r="H343" s="64">
        <v>0.8640000000000001</v>
      </c>
    </row>
    <row r="344" spans="1:8" x14ac:dyDescent="0.15">
      <c r="A344" s="296" t="s">
        <v>156</v>
      </c>
      <c r="B344" s="54" t="s">
        <v>60</v>
      </c>
      <c r="C344" s="59" t="str">
        <f t="shared" si="13"/>
        <v>投资公司速动比率</v>
      </c>
      <c r="D344" s="64">
        <v>1.7869999999999999</v>
      </c>
      <c r="E344" s="64">
        <v>1.399</v>
      </c>
      <c r="F344" s="64">
        <v>1.0170000000000001</v>
      </c>
      <c r="G344" s="64">
        <v>0.69299999999999995</v>
      </c>
      <c r="H344" s="64">
        <v>0.40600000000000003</v>
      </c>
    </row>
    <row r="345" spans="1:8" x14ac:dyDescent="0.15">
      <c r="A345" s="296" t="s">
        <v>156</v>
      </c>
      <c r="B345" s="60" t="s">
        <v>148</v>
      </c>
      <c r="C345" s="59" t="str">
        <f t="shared" si="13"/>
        <v>投资公司现金流动负债比率</v>
      </c>
      <c r="D345" s="57">
        <v>0.245</v>
      </c>
      <c r="E345" s="57">
        <v>0.125</v>
      </c>
      <c r="F345" s="57">
        <v>3.7000000000000005E-2</v>
      </c>
      <c r="G345" s="57">
        <v>-7.400000000000001E-2</v>
      </c>
      <c r="H345" s="57">
        <v>-0.14099999999999999</v>
      </c>
    </row>
    <row r="346" spans="1:8" x14ac:dyDescent="0.15">
      <c r="A346" s="296" t="s">
        <v>156</v>
      </c>
      <c r="B346" s="54" t="s">
        <v>138</v>
      </c>
      <c r="C346" s="59" t="str">
        <f t="shared" si="13"/>
        <v>投资公司四、长期偿债能力分析</v>
      </c>
      <c r="D346" s="56"/>
      <c r="E346" s="56"/>
      <c r="F346" s="56"/>
      <c r="G346" s="56"/>
      <c r="H346" s="56"/>
    </row>
    <row r="347" spans="1:8" x14ac:dyDescent="0.15">
      <c r="A347" s="296" t="s">
        <v>156</v>
      </c>
      <c r="B347" s="54" t="s">
        <v>61</v>
      </c>
      <c r="C347" s="59" t="str">
        <f t="shared" si="13"/>
        <v>投资公司资产负债比率</v>
      </c>
      <c r="D347" s="57">
        <v>0.379</v>
      </c>
      <c r="E347" s="57">
        <v>0.5</v>
      </c>
      <c r="F347" s="57">
        <v>0.63500000000000001</v>
      </c>
      <c r="G347" s="57">
        <v>0.78</v>
      </c>
      <c r="H347" s="57">
        <v>0.88900000000000001</v>
      </c>
    </row>
    <row r="348" spans="1:8" x14ac:dyDescent="0.15">
      <c r="A348" s="296" t="s">
        <v>156</v>
      </c>
      <c r="B348" s="54" t="s">
        <v>62</v>
      </c>
      <c r="C348" s="59" t="str">
        <f t="shared" si="13"/>
        <v>投资公司利息保障倍数</v>
      </c>
      <c r="D348" s="57">
        <v>8.6999999999999994E-2</v>
      </c>
      <c r="E348" s="57">
        <v>5.2999999999999999E-2</v>
      </c>
      <c r="F348" s="57">
        <v>2.7999999999999997E-2</v>
      </c>
      <c r="G348" s="57">
        <v>2E-3</v>
      </c>
      <c r="H348" s="57">
        <v>-1.6E-2</v>
      </c>
    </row>
    <row r="349" spans="1:8" x14ac:dyDescent="0.15">
      <c r="A349" s="296" t="s">
        <v>156</v>
      </c>
      <c r="B349" s="54" t="s">
        <v>131</v>
      </c>
      <c r="C349" s="59" t="str">
        <f t="shared" si="13"/>
        <v>投资公司五、发展能力分析</v>
      </c>
      <c r="D349" s="57"/>
      <c r="E349" s="57"/>
      <c r="F349" s="57"/>
      <c r="G349" s="57"/>
      <c r="H349" s="57"/>
    </row>
    <row r="350" spans="1:8" x14ac:dyDescent="0.15">
      <c r="A350" s="296" t="s">
        <v>156</v>
      </c>
      <c r="B350" s="54" t="s">
        <v>132</v>
      </c>
      <c r="C350" s="59" t="str">
        <f t="shared" si="13"/>
        <v>投资公司收入增长率</v>
      </c>
      <c r="D350" s="57">
        <v>0.23499999999999999</v>
      </c>
      <c r="E350" s="57">
        <v>0.15</v>
      </c>
      <c r="F350" s="57">
        <v>3.2000000000000001E-2</v>
      </c>
      <c r="G350" s="57">
        <v>-5.9000000000000004E-2</v>
      </c>
      <c r="H350" s="57">
        <v>-0.18100000000000002</v>
      </c>
    </row>
    <row r="351" spans="1:8" x14ac:dyDescent="0.15">
      <c r="A351" s="296" t="s">
        <v>156</v>
      </c>
      <c r="B351" s="59" t="s">
        <v>133</v>
      </c>
      <c r="C351" s="59" t="str">
        <f t="shared" si="13"/>
        <v>投资公司资本累积率</v>
      </c>
      <c r="D351" s="57">
        <v>1.0920000000000001</v>
      </c>
      <c r="E351" s="57">
        <v>1.0659999999999998</v>
      </c>
      <c r="F351" s="57">
        <v>1.038</v>
      </c>
      <c r="G351" s="57">
        <v>0.98199999999999998</v>
      </c>
      <c r="H351" s="57">
        <v>0.95200000000000007</v>
      </c>
    </row>
    <row r="352" spans="1:8" x14ac:dyDescent="0.15">
      <c r="A352" s="296"/>
      <c r="B352" s="59" t="s">
        <v>159</v>
      </c>
      <c r="C352" s="59" t="str">
        <f t="shared" si="13"/>
        <v>投资公司总资产增长率</v>
      </c>
      <c r="D352" s="57">
        <v>0.254</v>
      </c>
      <c r="E352" s="57">
        <v>0.161</v>
      </c>
      <c r="F352" s="57">
        <v>0.107</v>
      </c>
      <c r="G352" s="57">
        <v>-1.1000000000000001E-2</v>
      </c>
      <c r="H352" s="57">
        <v>-0.122</v>
      </c>
    </row>
    <row r="353" spans="1:8" x14ac:dyDescent="0.15">
      <c r="A353" s="296" t="s">
        <v>156</v>
      </c>
      <c r="B353" s="59" t="s">
        <v>310</v>
      </c>
      <c r="C353" s="59" t="str">
        <f t="shared" si="13"/>
        <v>投资公司主营业务利润增长率</v>
      </c>
      <c r="D353" s="57">
        <v>0.21100000000000002</v>
      </c>
      <c r="E353" s="57">
        <v>0.10199999999999999</v>
      </c>
      <c r="F353" s="57">
        <v>2.1000000000000001E-2</v>
      </c>
      <c r="G353" s="57">
        <v>-0.14599999999999999</v>
      </c>
      <c r="H353" s="57">
        <v>-0.22600000000000001</v>
      </c>
    </row>
    <row r="354" spans="1:8" x14ac:dyDescent="0.15">
      <c r="A354" s="296" t="s">
        <v>322</v>
      </c>
      <c r="B354" s="54" t="s">
        <v>126</v>
      </c>
      <c r="C354" s="59"/>
      <c r="D354" s="59"/>
      <c r="E354" s="59"/>
      <c r="F354" s="59"/>
      <c r="G354" s="59"/>
      <c r="H354" s="59"/>
    </row>
    <row r="355" spans="1:8" x14ac:dyDescent="0.15">
      <c r="A355" s="296" t="s">
        <v>156</v>
      </c>
      <c r="B355" s="54" t="s">
        <v>54</v>
      </c>
      <c r="C355" s="59" t="str">
        <f t="shared" ref="C355:C378" si="14">$A$354&amp;B355</f>
        <v>肥料制造业股东权益报酬率</v>
      </c>
      <c r="D355" s="57">
        <v>0.154</v>
      </c>
      <c r="E355" s="57">
        <v>9.9000000000000005E-2</v>
      </c>
      <c r="F355" s="57">
        <v>6.6000000000000003E-2</v>
      </c>
      <c r="G355" s="57">
        <v>-2.5000000000000001E-2</v>
      </c>
      <c r="H355" s="57">
        <v>-9.5000000000000001E-2</v>
      </c>
    </row>
    <row r="356" spans="1:8" x14ac:dyDescent="0.15">
      <c r="A356" s="296" t="s">
        <v>156</v>
      </c>
      <c r="B356" s="54" t="s">
        <v>55</v>
      </c>
      <c r="C356" s="59" t="str">
        <f t="shared" si="14"/>
        <v>肥料制造业总资产利润率</v>
      </c>
      <c r="D356" s="57">
        <v>0.11800000000000001</v>
      </c>
      <c r="E356" s="57">
        <v>8.199999999999999E-2</v>
      </c>
      <c r="F356" s="57">
        <v>5.4000000000000006E-2</v>
      </c>
      <c r="G356" s="57">
        <v>-1.7000000000000001E-2</v>
      </c>
      <c r="H356" s="57">
        <v>-0.04</v>
      </c>
    </row>
    <row r="357" spans="1:8" x14ac:dyDescent="0.15">
      <c r="A357" s="296" t="s">
        <v>156</v>
      </c>
      <c r="B357" s="54" t="s">
        <v>308</v>
      </c>
      <c r="C357" s="59" t="str">
        <f t="shared" si="14"/>
        <v>肥料制造业主营业务利润率</v>
      </c>
      <c r="D357" s="57">
        <v>0.22800000000000001</v>
      </c>
      <c r="E357" s="57">
        <v>0.184</v>
      </c>
      <c r="F357" s="57">
        <v>0.124</v>
      </c>
      <c r="G357" s="57">
        <v>3.7000000000000005E-2</v>
      </c>
      <c r="H357" s="57">
        <v>-2.7999999999999997E-2</v>
      </c>
    </row>
    <row r="358" spans="1:8" x14ac:dyDescent="0.15">
      <c r="A358" s="296" t="s">
        <v>156</v>
      </c>
      <c r="B358" s="54" t="s">
        <v>129</v>
      </c>
      <c r="C358" s="59" t="str">
        <f t="shared" si="14"/>
        <v>肥料制造业盈余现金保障倍数</v>
      </c>
      <c r="D358" s="64">
        <v>9.6999999999999993</v>
      </c>
      <c r="E358" s="64">
        <v>4.5</v>
      </c>
      <c r="F358" s="64">
        <v>1</v>
      </c>
      <c r="G358" s="64">
        <v>0.2</v>
      </c>
      <c r="H358" s="64">
        <v>-2.6</v>
      </c>
    </row>
    <row r="359" spans="1:8" x14ac:dyDescent="0.15">
      <c r="A359" s="296" t="s">
        <v>156</v>
      </c>
      <c r="B359" s="54" t="s">
        <v>58</v>
      </c>
      <c r="C359" s="59" t="str">
        <f t="shared" si="14"/>
        <v>肥料制造业成本费用利润率</v>
      </c>
      <c r="D359" s="57">
        <v>0.13300000000000001</v>
      </c>
      <c r="E359" s="57">
        <v>9.0999999999999998E-2</v>
      </c>
      <c r="F359" s="57">
        <v>0.05</v>
      </c>
      <c r="G359" s="57">
        <v>-2.1000000000000001E-2</v>
      </c>
      <c r="H359" s="57">
        <v>-0.10300000000000001</v>
      </c>
    </row>
    <row r="360" spans="1:8" x14ac:dyDescent="0.15">
      <c r="A360" s="296" t="s">
        <v>156</v>
      </c>
      <c r="B360" s="54" t="s">
        <v>51</v>
      </c>
      <c r="C360" s="59" t="str">
        <f t="shared" si="14"/>
        <v>肥料制造业资本收益率</v>
      </c>
      <c r="D360" s="57">
        <v>0.13800000000000001</v>
      </c>
      <c r="E360" s="57">
        <v>7.9000000000000001E-2</v>
      </c>
      <c r="F360" s="57">
        <v>0.03</v>
      </c>
      <c r="G360" s="57">
        <v>-5.7999999999999996E-2</v>
      </c>
      <c r="H360" s="57">
        <v>-0.124</v>
      </c>
    </row>
    <row r="361" spans="1:8" x14ac:dyDescent="0.15">
      <c r="A361" s="296" t="s">
        <v>156</v>
      </c>
      <c r="B361" s="54" t="s">
        <v>134</v>
      </c>
      <c r="C361" s="59"/>
      <c r="D361" s="57"/>
      <c r="E361" s="57"/>
      <c r="F361" s="57"/>
      <c r="G361" s="57"/>
      <c r="H361" s="57"/>
    </row>
    <row r="362" spans="1:8" x14ac:dyDescent="0.15">
      <c r="A362" s="296" t="s">
        <v>156</v>
      </c>
      <c r="B362" s="54" t="s">
        <v>65</v>
      </c>
      <c r="C362" s="59" t="str">
        <f t="shared" si="14"/>
        <v>肥料制造业总资产周转率</v>
      </c>
      <c r="D362" s="64">
        <v>1.2</v>
      </c>
      <c r="E362" s="64">
        <v>0.9</v>
      </c>
      <c r="F362" s="64">
        <v>0.6</v>
      </c>
      <c r="G362" s="64">
        <v>0.3</v>
      </c>
      <c r="H362" s="64">
        <v>0.2</v>
      </c>
    </row>
    <row r="363" spans="1:8" x14ac:dyDescent="0.15">
      <c r="A363" s="296" t="s">
        <v>156</v>
      </c>
      <c r="B363" s="54" t="s">
        <v>67</v>
      </c>
      <c r="C363" s="59" t="str">
        <f t="shared" si="14"/>
        <v>肥料制造业应收账款周转率</v>
      </c>
      <c r="D363" s="64">
        <v>29.9</v>
      </c>
      <c r="E363" s="64">
        <v>18.8</v>
      </c>
      <c r="F363" s="64">
        <v>10</v>
      </c>
      <c r="G363" s="64">
        <v>5.6</v>
      </c>
      <c r="H363" s="64">
        <v>2.7</v>
      </c>
    </row>
    <row r="364" spans="1:8" x14ac:dyDescent="0.15">
      <c r="A364" s="296" t="s">
        <v>156</v>
      </c>
      <c r="B364" s="54" t="s">
        <v>130</v>
      </c>
      <c r="C364" s="59" t="str">
        <f t="shared" si="14"/>
        <v>肥料制造业流动资产周转率</v>
      </c>
      <c r="D364" s="64">
        <v>3.4</v>
      </c>
      <c r="E364" s="64">
        <v>2.5</v>
      </c>
      <c r="F364" s="64">
        <v>1.5</v>
      </c>
      <c r="G364" s="64">
        <v>1.1000000000000001</v>
      </c>
      <c r="H364" s="64">
        <v>0.6</v>
      </c>
    </row>
    <row r="365" spans="1:8" x14ac:dyDescent="0.15">
      <c r="A365" s="296" t="s">
        <v>156</v>
      </c>
      <c r="B365" s="59" t="s">
        <v>135</v>
      </c>
      <c r="C365" s="59" t="str">
        <f t="shared" si="14"/>
        <v>肥料制造业资产现金回收率</v>
      </c>
      <c r="D365" s="57">
        <v>0.184</v>
      </c>
      <c r="E365" s="57">
        <v>0.128</v>
      </c>
      <c r="F365" s="57">
        <v>0.05</v>
      </c>
      <c r="G365" s="57">
        <v>2.5000000000000001E-2</v>
      </c>
      <c r="H365" s="57">
        <v>2E-3</v>
      </c>
    </row>
    <row r="366" spans="1:8" x14ac:dyDescent="0.15">
      <c r="A366" s="296" t="s">
        <v>156</v>
      </c>
      <c r="B366" s="54" t="s">
        <v>73</v>
      </c>
      <c r="C366" s="59" t="str">
        <f t="shared" si="14"/>
        <v>肥料制造业存货周转率</v>
      </c>
      <c r="D366" s="64">
        <v>11.4</v>
      </c>
      <c r="E366" s="64">
        <v>7.4</v>
      </c>
      <c r="F366" s="64">
        <v>3.8</v>
      </c>
      <c r="G366" s="64">
        <v>2.2999999999999998</v>
      </c>
      <c r="H366" s="64">
        <v>0.8</v>
      </c>
    </row>
    <row r="367" spans="1:8" x14ac:dyDescent="0.15">
      <c r="A367" s="296" t="s">
        <v>156</v>
      </c>
      <c r="B367" s="54" t="s">
        <v>137</v>
      </c>
      <c r="C367" s="59"/>
      <c r="D367" s="56"/>
      <c r="E367" s="56"/>
      <c r="F367" s="56"/>
      <c r="G367" s="56"/>
      <c r="H367" s="56"/>
    </row>
    <row r="368" spans="1:8" x14ac:dyDescent="0.15">
      <c r="A368" s="296" t="s">
        <v>156</v>
      </c>
      <c r="B368" s="54" t="s">
        <v>179</v>
      </c>
      <c r="C368" s="59" t="str">
        <f t="shared" si="14"/>
        <v>肥料制造业带息负债比率</v>
      </c>
      <c r="D368" s="57">
        <v>0.26899999999999996</v>
      </c>
      <c r="E368" s="57">
        <v>0.39600000000000002</v>
      </c>
      <c r="F368" s="57">
        <v>0.56999999999999995</v>
      </c>
      <c r="G368" s="57">
        <v>0.7390000000000001</v>
      </c>
      <c r="H368" s="57">
        <v>0.84</v>
      </c>
    </row>
    <row r="369" spans="1:8" x14ac:dyDescent="0.15">
      <c r="A369" s="296" t="s">
        <v>156</v>
      </c>
      <c r="B369" s="54" t="s">
        <v>60</v>
      </c>
      <c r="C369" s="59" t="str">
        <f t="shared" si="14"/>
        <v>肥料制造业速动比率</v>
      </c>
      <c r="D369" s="94">
        <v>1.1619999999999999</v>
      </c>
      <c r="E369" s="94">
        <v>0.97599999999999998</v>
      </c>
      <c r="F369" s="94">
        <v>0.69</v>
      </c>
      <c r="G369" s="94">
        <v>0.47499999999999998</v>
      </c>
      <c r="H369" s="94">
        <v>0.29799999999999999</v>
      </c>
    </row>
    <row r="370" spans="1:8" x14ac:dyDescent="0.15">
      <c r="A370" s="296" t="s">
        <v>156</v>
      </c>
      <c r="B370" s="60" t="s">
        <v>148</v>
      </c>
      <c r="C370" s="59" t="str">
        <f t="shared" si="14"/>
        <v>肥料制造业现金流动负债比率</v>
      </c>
      <c r="D370" s="57">
        <v>0.28300000000000003</v>
      </c>
      <c r="E370" s="57">
        <v>0.21299999999999999</v>
      </c>
      <c r="F370" s="57">
        <v>0.14000000000000001</v>
      </c>
      <c r="G370" s="57">
        <v>0.09</v>
      </c>
      <c r="H370" s="57">
        <v>1.8000000000000002E-2</v>
      </c>
    </row>
    <row r="371" spans="1:8" x14ac:dyDescent="0.15">
      <c r="A371" s="296" t="s">
        <v>156</v>
      </c>
      <c r="B371" s="54" t="s">
        <v>138</v>
      </c>
      <c r="C371" s="59"/>
      <c r="D371" s="56"/>
      <c r="E371" s="56"/>
      <c r="F371" s="56"/>
      <c r="G371" s="56"/>
      <c r="H371" s="56"/>
    </row>
    <row r="372" spans="1:8" x14ac:dyDescent="0.15">
      <c r="A372" s="296" t="s">
        <v>156</v>
      </c>
      <c r="B372" s="54" t="s">
        <v>61</v>
      </c>
      <c r="C372" s="59" t="str">
        <f t="shared" si="14"/>
        <v>肥料制造业资产负债比率</v>
      </c>
      <c r="D372" s="57">
        <v>0.36</v>
      </c>
      <c r="E372" s="57">
        <v>0.42299999999999999</v>
      </c>
      <c r="F372" s="57">
        <v>0.54</v>
      </c>
      <c r="G372" s="57">
        <v>0.68500000000000005</v>
      </c>
      <c r="H372" s="57">
        <v>0.879</v>
      </c>
    </row>
    <row r="373" spans="1:8" x14ac:dyDescent="0.15">
      <c r="A373" s="296" t="s">
        <v>156</v>
      </c>
      <c r="B373" s="54" t="s">
        <v>62</v>
      </c>
      <c r="C373" s="59" t="str">
        <f t="shared" si="14"/>
        <v>肥料制造业利息保障倍数</v>
      </c>
      <c r="D373" s="64">
        <v>5.5</v>
      </c>
      <c r="E373" s="64">
        <v>3.3</v>
      </c>
      <c r="F373" s="64">
        <v>1.5</v>
      </c>
      <c r="G373" s="64">
        <v>-2.2000000000000002</v>
      </c>
      <c r="H373" s="64">
        <v>-2.9</v>
      </c>
    </row>
    <row r="374" spans="1:8" x14ac:dyDescent="0.15">
      <c r="A374" s="296" t="s">
        <v>156</v>
      </c>
      <c r="B374" s="54" t="s">
        <v>131</v>
      </c>
      <c r="C374" s="59"/>
      <c r="D374" s="57"/>
      <c r="E374" s="57"/>
      <c r="F374" s="57"/>
      <c r="G374" s="57"/>
      <c r="H374" s="57"/>
    </row>
    <row r="375" spans="1:8" x14ac:dyDescent="0.15">
      <c r="A375" s="296" t="s">
        <v>156</v>
      </c>
      <c r="B375" s="54" t="s">
        <v>132</v>
      </c>
      <c r="C375" s="59" t="str">
        <f t="shared" si="14"/>
        <v>肥料制造业收入增长率</v>
      </c>
      <c r="D375" s="57">
        <v>0.27399999999999997</v>
      </c>
      <c r="E375" s="57">
        <v>0.21199999999999999</v>
      </c>
      <c r="F375" s="57">
        <v>0.157</v>
      </c>
      <c r="G375" s="57">
        <v>3.7000000000000005E-2</v>
      </c>
      <c r="H375" s="57">
        <v>-0.111</v>
      </c>
    </row>
    <row r="376" spans="1:8" x14ac:dyDescent="0.15">
      <c r="A376" s="296" t="s">
        <v>156</v>
      </c>
      <c r="B376" s="59" t="s">
        <v>133</v>
      </c>
      <c r="C376" s="59" t="str">
        <f t="shared" si="14"/>
        <v>肥料制造业资本累积率</v>
      </c>
      <c r="D376" s="57">
        <v>1.151</v>
      </c>
      <c r="E376" s="57">
        <v>1.097</v>
      </c>
      <c r="F376" s="57">
        <v>1.0640000000000001</v>
      </c>
      <c r="G376" s="57">
        <v>0.98099999999999998</v>
      </c>
      <c r="H376" s="57">
        <v>0.91299999999999992</v>
      </c>
    </row>
    <row r="377" spans="1:8" x14ac:dyDescent="0.15">
      <c r="A377" s="296"/>
      <c r="B377" s="59" t="s">
        <v>159</v>
      </c>
      <c r="C377" s="59" t="str">
        <f t="shared" si="14"/>
        <v>肥料制造业总资产增长率</v>
      </c>
      <c r="D377" s="57">
        <v>0.28899999999999998</v>
      </c>
      <c r="E377" s="57">
        <v>0.21100000000000002</v>
      </c>
      <c r="F377" s="57">
        <v>0.157</v>
      </c>
      <c r="G377" s="57">
        <v>2.5000000000000001E-2</v>
      </c>
      <c r="H377" s="57">
        <v>-2.3E-2</v>
      </c>
    </row>
    <row r="378" spans="1:8" x14ac:dyDescent="0.15">
      <c r="A378" s="296" t="s">
        <v>156</v>
      </c>
      <c r="B378" s="59" t="s">
        <v>310</v>
      </c>
      <c r="C378" s="59" t="str">
        <f t="shared" si="14"/>
        <v>肥料制造业主营业务利润增长率</v>
      </c>
      <c r="D378" s="57">
        <v>0.28600000000000003</v>
      </c>
      <c r="E378" s="57">
        <v>0.20800000000000002</v>
      </c>
      <c r="F378" s="57">
        <v>0.13</v>
      </c>
      <c r="G378" s="57">
        <v>-4.4000000000000004E-2</v>
      </c>
      <c r="H378" s="57">
        <v>-0.13500000000000001</v>
      </c>
    </row>
  </sheetData>
  <mergeCells count="17">
    <mergeCell ref="A354:A378"/>
    <mergeCell ref="N2:R2"/>
    <mergeCell ref="A4:A28"/>
    <mergeCell ref="A1:H2"/>
    <mergeCell ref="A79:A103"/>
    <mergeCell ref="A179:A203"/>
    <mergeCell ref="A204:A228"/>
    <mergeCell ref="A304:A328"/>
    <mergeCell ref="A29:A53"/>
    <mergeCell ref="A54:A78"/>
    <mergeCell ref="A104:A128"/>
    <mergeCell ref="A129:A153"/>
    <mergeCell ref="A154:A178"/>
    <mergeCell ref="A329:A353"/>
    <mergeCell ref="A229:A253"/>
    <mergeCell ref="A254:A278"/>
    <mergeCell ref="A279:A30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3</vt:i4>
      </vt:variant>
    </vt:vector>
  </HeadingPairs>
  <TitlesOfParts>
    <vt:vector size="9" baseType="lpstr">
      <vt:lpstr>评审模型</vt:lpstr>
      <vt:lpstr>财务指标</vt:lpstr>
      <vt:lpstr>资产负债表</vt:lpstr>
      <vt:lpstr>利润表</vt:lpstr>
      <vt:lpstr>现金流量表</vt:lpstr>
      <vt:lpstr>指标参数数据库</vt:lpstr>
      <vt:lpstr>利润表!Print_Area</vt:lpstr>
      <vt:lpstr>评审模型!Print_Area</vt:lpstr>
      <vt:lpstr>资产负债表!Print_Area</vt:lpstr>
    </vt:vector>
  </TitlesOfParts>
  <Company>Microsoft 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yz5A</dc:creator>
  <cp:lastModifiedBy>张艳坤</cp:lastModifiedBy>
  <cp:lastPrinted>2012-05-08T05:48:26Z</cp:lastPrinted>
  <dcterms:created xsi:type="dcterms:W3CDTF">2004-04-26T03:09:19Z</dcterms:created>
  <dcterms:modified xsi:type="dcterms:W3CDTF">2017-01-18T19:49:13Z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 linkTarget="&lt;?xml version=&quot;1.0&quot; encoding=&quot;UTF-16&quot; standalone=&quot;yes&quot;?&gt;&#10;&lt;root reqver=&quot;16160&quot;&gt;&lt;version val=&quot;17951&quot;/&gt;&lt;CXlWorkbook id=&quot;1&quot;&gt;&lt;m_cxllink/&gt;&lt;/CXlWorkbook&gt;&lt;/root&gt;">
    <vt:bool>false</vt:bool>
  </property>
</Properties>
</file>