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我的坚果云\财务会计\"/>
    </mc:Choice>
  </mc:AlternateContent>
  <bookViews>
    <workbookView xWindow="-450" yWindow="135" windowWidth="14715" windowHeight="8415" tabRatio="240"/>
  </bookViews>
  <sheets>
    <sheet name="新火电" sheetId="4" r:id="rId1"/>
  </sheets>
  <calcPr calcId="162913"/>
</workbook>
</file>

<file path=xl/calcChain.xml><?xml version="1.0" encoding="utf-8"?>
<calcChain xmlns="http://schemas.openxmlformats.org/spreadsheetml/2006/main">
  <c r="F5" i="4" l="1"/>
  <c r="F6" i="4" s="1"/>
  <c r="I7" i="4"/>
  <c r="F16" i="4" s="1"/>
  <c r="F17" i="4"/>
  <c r="M4" i="4"/>
  <c r="L4" i="4" s="1"/>
  <c r="L6" i="4"/>
  <c r="L7" i="4"/>
  <c r="M7" i="4" s="1"/>
  <c r="L8" i="4"/>
  <c r="M8" i="4" s="1"/>
  <c r="L9" i="4"/>
  <c r="M9" i="4" s="1"/>
  <c r="F25" i="4"/>
  <c r="G16" i="4"/>
  <c r="G17" i="4"/>
  <c r="G13" i="4"/>
  <c r="H17" i="4"/>
  <c r="I16" i="4"/>
  <c r="I15" i="4" s="1"/>
  <c r="I23" i="4" s="1"/>
  <c r="I17" i="4"/>
  <c r="J17" i="4"/>
  <c r="K16" i="4"/>
  <c r="K17" i="4"/>
  <c r="L16" i="4"/>
  <c r="L17" i="4"/>
  <c r="M16" i="4"/>
  <c r="M15" i="4" s="1"/>
  <c r="M23" i="4" s="1"/>
  <c r="M17" i="4"/>
  <c r="N16" i="4"/>
  <c r="N17" i="4"/>
  <c r="O16" i="4"/>
  <c r="O17" i="4"/>
  <c r="O15" i="4"/>
  <c r="O23" i="4" s="1"/>
  <c r="P17" i="4"/>
  <c r="Q16" i="4"/>
  <c r="Q17" i="4"/>
  <c r="R16" i="4"/>
  <c r="R17" i="4"/>
  <c r="S17" i="4"/>
  <c r="T16" i="4"/>
  <c r="T17" i="4"/>
  <c r="U16" i="4"/>
  <c r="U17" i="4"/>
  <c r="V16" i="4"/>
  <c r="V17" i="4"/>
  <c r="W16" i="4"/>
  <c r="W17" i="4"/>
  <c r="X16" i="4"/>
  <c r="X17" i="4"/>
  <c r="Y16" i="4"/>
  <c r="Y17" i="4"/>
  <c r="M6" i="4"/>
  <c r="P16" i="4" l="1"/>
  <c r="P15" i="4" s="1"/>
  <c r="P14" i="4" s="1"/>
  <c r="H16" i="4"/>
  <c r="H15" i="4" s="1"/>
  <c r="S16" i="4"/>
  <c r="S15" i="4" s="1"/>
  <c r="S23" i="4" s="1"/>
  <c r="W15" i="4"/>
  <c r="W23" i="4" s="1"/>
  <c r="K15" i="4"/>
  <c r="K23" i="4" s="1"/>
  <c r="Y15" i="4"/>
  <c r="U15" i="4"/>
  <c r="G15" i="4"/>
  <c r="G14" i="4" s="1"/>
  <c r="F15" i="4"/>
  <c r="F14" i="4" s="1"/>
  <c r="G23" i="4"/>
  <c r="T15" i="4"/>
  <c r="T14" i="4" s="1"/>
  <c r="J16" i="4"/>
  <c r="J15" i="4" s="1"/>
  <c r="L5" i="4"/>
  <c r="L10" i="4" s="1"/>
  <c r="Q15" i="4"/>
  <c r="X15" i="4"/>
  <c r="X23" i="4" s="1"/>
  <c r="V15" i="4"/>
  <c r="V14" i="4" s="1"/>
  <c r="R15" i="4"/>
  <c r="W14" i="4"/>
  <c r="U14" i="4"/>
  <c r="U23" i="4"/>
  <c r="Q14" i="4"/>
  <c r="Q23" i="4"/>
  <c r="R14" i="4"/>
  <c r="R23" i="4"/>
  <c r="M10" i="4"/>
  <c r="M11" i="4" s="1"/>
  <c r="S14" i="4"/>
  <c r="O14" i="4"/>
  <c r="M14" i="4"/>
  <c r="I14" i="4"/>
  <c r="F23" i="4"/>
  <c r="N15" i="4"/>
  <c r="L15" i="4"/>
  <c r="F7" i="4"/>
  <c r="E22" i="4"/>
  <c r="E21" i="4" s="1"/>
  <c r="E31" i="4" s="1"/>
  <c r="G25" i="4"/>
  <c r="H13" i="4"/>
  <c r="Q24" i="4" l="1"/>
  <c r="O24" i="4"/>
  <c r="F24" i="4"/>
  <c r="X24" i="4"/>
  <c r="P23" i="4"/>
  <c r="T23" i="4"/>
  <c r="K14" i="4"/>
  <c r="V24" i="4"/>
  <c r="M24" i="4"/>
  <c r="Y14" i="4"/>
  <c r="Y23" i="4"/>
  <c r="V23" i="4"/>
  <c r="T24" i="4"/>
  <c r="R24" i="4"/>
  <c r="K24" i="4"/>
  <c r="P24" i="4"/>
  <c r="X14" i="4"/>
  <c r="N24" i="4"/>
  <c r="W24" i="4"/>
  <c r="G24" i="4"/>
  <c r="L24" i="4"/>
  <c r="U24" i="4"/>
  <c r="J24" i="4"/>
  <c r="S24" i="4"/>
  <c r="Y24" i="4"/>
  <c r="I24" i="4"/>
  <c r="H24" i="4"/>
  <c r="F26" i="4"/>
  <c r="F27" i="4"/>
  <c r="F28" i="4" s="1"/>
  <c r="F29" i="4" s="1"/>
  <c r="G26" i="4"/>
  <c r="H26" i="4"/>
  <c r="H27" i="4"/>
  <c r="I13" i="4"/>
  <c r="H25" i="4"/>
  <c r="N14" i="4"/>
  <c r="N23" i="4"/>
  <c r="H14" i="4"/>
  <c r="H23" i="4"/>
  <c r="G27" i="4"/>
  <c r="L14" i="4"/>
  <c r="L23" i="4"/>
  <c r="E33" i="4"/>
  <c r="E34" i="4" s="1"/>
  <c r="E32" i="4"/>
  <c r="J14" i="4"/>
  <c r="J23" i="4"/>
  <c r="G28" i="4" l="1"/>
  <c r="G29" i="4" s="1"/>
  <c r="F21" i="4"/>
  <c r="F31" i="4" s="1"/>
  <c r="F33" i="4" s="1"/>
  <c r="F34" i="4" s="1"/>
  <c r="H28" i="4"/>
  <c r="H29" i="4" s="1"/>
  <c r="I27" i="4"/>
  <c r="J13" i="4"/>
  <c r="I25" i="4"/>
  <c r="I26" i="4"/>
  <c r="F32" i="4" l="1"/>
  <c r="G21" i="4"/>
  <c r="G31" i="4" s="1"/>
  <c r="G33" i="4" s="1"/>
  <c r="G34" i="4" s="1"/>
  <c r="I28" i="4"/>
  <c r="I29" i="4" s="1"/>
  <c r="J26" i="4"/>
  <c r="J27" i="4"/>
  <c r="K13" i="4"/>
  <c r="J25" i="4"/>
  <c r="J28" i="4" s="1"/>
  <c r="J29" i="4" s="1"/>
  <c r="H21" i="4"/>
  <c r="H31" i="4" s="1"/>
  <c r="J21" i="4" l="1"/>
  <c r="J31" i="4" s="1"/>
  <c r="J33" i="4" s="1"/>
  <c r="G32" i="4"/>
  <c r="H32" i="4" s="1"/>
  <c r="K27" i="4"/>
  <c r="L13" i="4"/>
  <c r="K25" i="4"/>
  <c r="K28" i="4" s="1"/>
  <c r="K29" i="4" s="1"/>
  <c r="K26" i="4"/>
  <c r="I21" i="4"/>
  <c r="I31" i="4" s="1"/>
  <c r="I33" i="4" s="1"/>
  <c r="H33" i="4"/>
  <c r="H34" i="4" s="1"/>
  <c r="I32" i="4" l="1"/>
  <c r="J32" i="4" s="1"/>
  <c r="K21" i="4"/>
  <c r="K31" i="4" s="1"/>
  <c r="K33" i="4" s="1"/>
  <c r="I34" i="4"/>
  <c r="J34" i="4" s="1"/>
  <c r="L26" i="4"/>
  <c r="L27" i="4"/>
  <c r="M13" i="4"/>
  <c r="L25" i="4"/>
  <c r="K34" i="4" l="1"/>
  <c r="K32" i="4"/>
  <c r="M27" i="4"/>
  <c r="N13" i="4"/>
  <c r="M25" i="4"/>
  <c r="M26" i="4"/>
  <c r="L28" i="4"/>
  <c r="L29" i="4" s="1"/>
  <c r="M28" i="4" l="1"/>
  <c r="M29" i="4" s="1"/>
  <c r="L21" i="4"/>
  <c r="L31" i="4" s="1"/>
  <c r="N26" i="4"/>
  <c r="N27" i="4"/>
  <c r="N25" i="4"/>
  <c r="O13" i="4"/>
  <c r="M21" i="4" l="1"/>
  <c r="M31" i="4" s="1"/>
  <c r="M33" i="4" s="1"/>
  <c r="O25" i="4"/>
  <c r="P13" i="4"/>
  <c r="O27" i="4"/>
  <c r="O26" i="4"/>
  <c r="L33" i="4"/>
  <c r="L34" i="4" s="1"/>
  <c r="L32" i="4"/>
  <c r="N28" i="4"/>
  <c r="N29" i="4" s="1"/>
  <c r="M32" i="4" l="1"/>
  <c r="M34" i="4"/>
  <c r="N21" i="4"/>
  <c r="N31" i="4" s="1"/>
  <c r="N33" i="4" s="1"/>
  <c r="N34" i="4" s="1"/>
  <c r="P26" i="4"/>
  <c r="P27" i="4"/>
  <c r="P25" i="4"/>
  <c r="Q13" i="4"/>
  <c r="O28" i="4"/>
  <c r="O29" i="4" s="1"/>
  <c r="N32" i="4" l="1"/>
  <c r="Q25" i="4"/>
  <c r="Q26" i="4"/>
  <c r="Q27" i="4"/>
  <c r="R13" i="4"/>
  <c r="P28" i="4"/>
  <c r="P29" i="4" s="1"/>
  <c r="O21" i="4"/>
  <c r="O31" i="4" s="1"/>
  <c r="O33" i="4" s="1"/>
  <c r="O34" i="4" s="1"/>
  <c r="O32" i="4" l="1"/>
  <c r="Q28" i="4"/>
  <c r="Q29" i="4" s="1"/>
  <c r="R26" i="4"/>
  <c r="R25" i="4"/>
  <c r="S13" i="4"/>
  <c r="R27" i="4"/>
  <c r="P21" i="4"/>
  <c r="P31" i="4" s="1"/>
  <c r="P33" i="4" s="1"/>
  <c r="P34" i="4" s="1"/>
  <c r="S25" i="4" l="1"/>
  <c r="T13" i="4"/>
  <c r="S27" i="4"/>
  <c r="S26" i="4"/>
  <c r="P32" i="4"/>
  <c r="R28" i="4"/>
  <c r="R29" i="4" s="1"/>
  <c r="Q21" i="4"/>
  <c r="Q31" i="4" s="1"/>
  <c r="Q33" i="4" l="1"/>
  <c r="Q34" i="4" s="1"/>
  <c r="Q32" i="4"/>
  <c r="T26" i="4"/>
  <c r="T27" i="4"/>
  <c r="U13" i="4"/>
  <c r="T25" i="4"/>
  <c r="S28" i="4"/>
  <c r="S29" i="4" s="1"/>
  <c r="R21" i="4"/>
  <c r="R31" i="4" s="1"/>
  <c r="S21" i="4" l="1"/>
  <c r="S31" i="4" s="1"/>
  <c r="S33" i="4" s="1"/>
  <c r="T28" i="4"/>
  <c r="T29" i="4" s="1"/>
  <c r="R32" i="4"/>
  <c r="R33" i="4"/>
  <c r="R34" i="4" s="1"/>
  <c r="U25" i="4"/>
  <c r="U26" i="4"/>
  <c r="U27" i="4"/>
  <c r="V13" i="4"/>
  <c r="S34" i="4" l="1"/>
  <c r="U28" i="4"/>
  <c r="U29" i="4" s="1"/>
  <c r="U21" i="4" s="1"/>
  <c r="U31" i="4" s="1"/>
  <c r="U33" i="4" s="1"/>
  <c r="S32" i="4"/>
  <c r="V26" i="4"/>
  <c r="V25" i="4"/>
  <c r="W13" i="4"/>
  <c r="V27" i="4"/>
  <c r="T21" i="4"/>
  <c r="T31" i="4" s="1"/>
  <c r="V28" i="4" l="1"/>
  <c r="V29" i="4" s="1"/>
  <c r="T33" i="4"/>
  <c r="T34" i="4" s="1"/>
  <c r="U34" i="4" s="1"/>
  <c r="T32" i="4"/>
  <c r="U32" i="4" s="1"/>
  <c r="W25" i="4"/>
  <c r="W28" i="4" s="1"/>
  <c r="W29" i="4" s="1"/>
  <c r="X13" i="4"/>
  <c r="W27" i="4"/>
  <c r="W26" i="4"/>
  <c r="V21" i="4" l="1"/>
  <c r="V31" i="4" s="1"/>
  <c r="V32" i="4" s="1"/>
  <c r="X26" i="4"/>
  <c r="X27" i="4"/>
  <c r="Y13" i="4"/>
  <c r="X25" i="4"/>
  <c r="X28" i="4" s="1"/>
  <c r="X29" i="4" s="1"/>
  <c r="W21" i="4"/>
  <c r="W31" i="4" s="1"/>
  <c r="V33" i="4" l="1"/>
  <c r="V34" i="4" s="1"/>
  <c r="Y25" i="4"/>
  <c r="Y26" i="4"/>
  <c r="Y27" i="4"/>
  <c r="W33" i="4"/>
  <c r="W32" i="4"/>
  <c r="X21" i="4"/>
  <c r="X31" i="4" s="1"/>
  <c r="W34" i="4" l="1"/>
  <c r="Y28" i="4"/>
  <c r="Y29" i="4" s="1"/>
  <c r="X32" i="4"/>
  <c r="X33" i="4"/>
  <c r="X34" i="4" s="1"/>
  <c r="Y21" i="4"/>
  <c r="Y31" i="4" s="1"/>
  <c r="Y33" i="4" l="1"/>
  <c r="Y34" i="4" s="1"/>
  <c r="Y32" i="4"/>
  <c r="H11" i="4"/>
</calcChain>
</file>

<file path=xl/sharedStrings.xml><?xml version="1.0" encoding="utf-8"?>
<sst xmlns="http://schemas.openxmlformats.org/spreadsheetml/2006/main" count="75" uniqueCount="66">
  <si>
    <t>项目</t>
    <phoneticPr fontId="2" type="noConversion"/>
  </si>
  <si>
    <t>单位</t>
    <phoneticPr fontId="2" type="noConversion"/>
  </si>
  <si>
    <t>取值</t>
    <phoneticPr fontId="2" type="noConversion"/>
  </si>
  <si>
    <t>装机容量</t>
  </si>
  <si>
    <t>利用小时</t>
  </si>
  <si>
    <t>小时</t>
    <phoneticPr fontId="2" type="noConversion"/>
  </si>
  <si>
    <t>万元</t>
    <phoneticPr fontId="2" type="noConversion"/>
  </si>
  <si>
    <t>总投资</t>
    <phoneticPr fontId="2" type="noConversion"/>
  </si>
  <si>
    <t>厂用电率</t>
  </si>
  <si>
    <t>%</t>
    <phoneticPr fontId="2" type="noConversion"/>
  </si>
  <si>
    <t>资本金</t>
  </si>
  <si>
    <t>折旧率</t>
    <phoneticPr fontId="2" type="noConversion"/>
  </si>
  <si>
    <t>长期贷款余额</t>
    <phoneticPr fontId="2" type="noConversion"/>
  </si>
  <si>
    <t>上网电量</t>
  </si>
  <si>
    <t>长期贷款利率</t>
    <phoneticPr fontId="2" type="noConversion"/>
  </si>
  <si>
    <t>上网电价</t>
    <phoneticPr fontId="2" type="noConversion"/>
  </si>
  <si>
    <t>剩余经营期</t>
    <phoneticPr fontId="2" type="noConversion"/>
  </si>
  <si>
    <t>年</t>
    <phoneticPr fontId="2" type="noConversion"/>
  </si>
  <si>
    <t>资本金回报率</t>
  </si>
  <si>
    <t>IRR(%)</t>
    <phoneticPr fontId="2" type="noConversion"/>
  </si>
  <si>
    <t>剩余还贷期</t>
    <phoneticPr fontId="2" type="noConversion"/>
  </si>
  <si>
    <t>IRR=</t>
  </si>
  <si>
    <t>年份</t>
  </si>
  <si>
    <t>一、现金流入</t>
  </si>
  <si>
    <t>1.销售收入</t>
  </si>
  <si>
    <t>上网电价</t>
  </si>
  <si>
    <t>2、回收流动资金</t>
  </si>
  <si>
    <t>3、回收固定资产余值</t>
  </si>
  <si>
    <t>4、其他</t>
  </si>
  <si>
    <t>二、现金流出</t>
  </si>
  <si>
    <t>1、资本金投入</t>
    <phoneticPr fontId="2" type="noConversion"/>
  </si>
  <si>
    <t>2、销售税金及附加</t>
  </si>
  <si>
    <t>5、利息支付</t>
    <phoneticPr fontId="2" type="noConversion"/>
  </si>
  <si>
    <t>三、净现金流量</t>
  </si>
  <si>
    <t>四、累积净现金流量</t>
  </si>
  <si>
    <t>五、净现金流量现值</t>
  </si>
  <si>
    <t>六、累计净现金流量现值</t>
  </si>
  <si>
    <t>折现率</t>
    <phoneticPr fontId="2" type="noConversion"/>
  </si>
  <si>
    <t>合计</t>
    <phoneticPr fontId="2" type="noConversion"/>
  </si>
  <si>
    <t>总额（万元）</t>
    <phoneticPr fontId="2" type="noConversion"/>
  </si>
  <si>
    <t>天然煤价</t>
    <phoneticPr fontId="2" type="noConversion"/>
  </si>
  <si>
    <t>热值</t>
    <phoneticPr fontId="2" type="noConversion"/>
  </si>
  <si>
    <t>供电标煤耗</t>
    <phoneticPr fontId="2" type="noConversion"/>
  </si>
  <si>
    <t>大卡</t>
    <phoneticPr fontId="2" type="noConversion"/>
  </si>
  <si>
    <t>管理费及其它</t>
    <phoneticPr fontId="2" type="noConversion"/>
  </si>
  <si>
    <t>含税</t>
    <phoneticPr fontId="2" type="noConversion"/>
  </si>
  <si>
    <t>万kw</t>
    <phoneticPr fontId="2" type="noConversion"/>
  </si>
  <si>
    <t>万元</t>
    <phoneticPr fontId="2" type="noConversion"/>
  </si>
  <si>
    <t>6、所得税</t>
    <phoneticPr fontId="2" type="noConversion"/>
  </si>
  <si>
    <t>7、公益金</t>
    <phoneticPr fontId="2" type="noConversion"/>
  </si>
  <si>
    <r>
      <t>燃料费</t>
    </r>
    <r>
      <rPr>
        <sz val="11"/>
        <rFont val="楷体_GB2312"/>
        <family val="3"/>
        <charset val="134"/>
      </rPr>
      <t/>
    </r>
    <phoneticPr fontId="2" type="noConversion"/>
  </si>
  <si>
    <r>
      <t>水费</t>
    </r>
    <r>
      <rPr>
        <sz val="11"/>
        <rFont val="楷体_GB2312"/>
        <family val="3"/>
        <charset val="134"/>
      </rPr>
      <t/>
    </r>
    <phoneticPr fontId="2" type="noConversion"/>
  </si>
  <si>
    <r>
      <t>材料费</t>
    </r>
    <r>
      <rPr>
        <sz val="11"/>
        <rFont val="楷体_GB2312"/>
        <family val="3"/>
        <charset val="134"/>
      </rPr>
      <t/>
    </r>
    <phoneticPr fontId="2" type="noConversion"/>
  </si>
  <si>
    <r>
      <t>修理费</t>
    </r>
    <r>
      <rPr>
        <sz val="11"/>
        <rFont val="楷体_GB2312"/>
        <family val="3"/>
        <charset val="134"/>
      </rPr>
      <t/>
    </r>
    <phoneticPr fontId="2" type="noConversion"/>
  </si>
  <si>
    <r>
      <t>工资及福利</t>
    </r>
    <r>
      <rPr>
        <sz val="11"/>
        <rFont val="楷体_GB2312"/>
        <family val="3"/>
        <charset val="134"/>
      </rPr>
      <t/>
    </r>
    <phoneticPr fontId="2" type="noConversion"/>
  </si>
  <si>
    <t>单位成本（元/千瓦时）</t>
    <phoneticPr fontId="2" type="noConversion"/>
  </si>
  <si>
    <t>元/吨</t>
    <phoneticPr fontId="2" type="noConversion"/>
  </si>
  <si>
    <t>克/千瓦时</t>
    <phoneticPr fontId="2" type="noConversion"/>
  </si>
  <si>
    <t>万kwh</t>
    <phoneticPr fontId="2" type="noConversion"/>
  </si>
  <si>
    <t>元/kwh</t>
    <phoneticPr fontId="2" type="noConversion"/>
  </si>
  <si>
    <t>3、经营成本 (不含折旧）</t>
    <phoneticPr fontId="2" type="noConversion"/>
  </si>
  <si>
    <t xml:space="preserve">                 折旧费用</t>
    <phoneticPr fontId="2" type="noConversion"/>
  </si>
  <si>
    <t>4、本金偿还</t>
    <phoneticPr fontId="2" type="noConversion"/>
  </si>
  <si>
    <t>8、其他</t>
    <phoneticPr fontId="2" type="noConversion"/>
  </si>
  <si>
    <t xml:space="preserve">      项目   \</t>
    <phoneticPr fontId="2" type="noConversion"/>
  </si>
  <si>
    <t>新投产火电机组平均上网电价测算BBS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</si>
</sst>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 * #,##0.00_ ;_ * \-#,##0.00_ ;_ * &quot;-&quot;??_ ;_ @_ "/>
    <numFmt numFmtId="176" formatCode="_ * #,##0_ ;_ * \-#,##0_ ;_ * &quot;-&quot;??_ ;_ @_ "/>
    <numFmt numFmtId="177" formatCode="_ * #,##0.0_ ;_ * \-#,##0.0_ ;_ * &quot;-&quot;??_ ;_ @_ "/>
    <numFmt numFmtId="178" formatCode="_ * #,##0.0_ ;_ * \-#,##0.0_ ;_ * &quot;-&quot;?_ ;_ @_ "/>
    <numFmt numFmtId="179" formatCode="0.000"/>
    <numFmt numFmtId="180" formatCode="0.00_);[Red]\(0.00\)"/>
    <numFmt numFmtId="181" formatCode="0.000_);[Red]\(0.000\)"/>
    <numFmt numFmtId="182" formatCode="0.000_ "/>
  </numFmts>
  <fonts count="6">
    <font>
      <sz val="12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楷体_GB2312"/>
      <family val="3"/>
      <charset val="134"/>
    </font>
    <font>
      <sz val="10"/>
      <name val="宋体"/>
      <family val="3"/>
      <charset val="134"/>
      <scheme val="minor"/>
    </font>
    <font>
      <b/>
      <i/>
      <sz val="10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76" fontId="4" fillId="0" borderId="1" xfId="2" applyNumberFormat="1" applyFont="1" applyBorder="1"/>
    <xf numFmtId="176" fontId="4" fillId="2" borderId="1" xfId="2" applyNumberFormat="1" applyFont="1" applyFill="1" applyBorder="1"/>
    <xf numFmtId="0" fontId="4" fillId="0" borderId="1" xfId="0" applyFont="1" applyBorder="1" applyAlignment="1">
      <alignment horizontal="left"/>
    </xf>
    <xf numFmtId="180" fontId="4" fillId="0" borderId="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0" fontId="4" fillId="0" borderId="1" xfId="0" applyNumberFormat="1" applyFont="1" applyBorder="1"/>
    <xf numFmtId="0" fontId="4" fillId="0" borderId="2" xfId="0" applyFont="1" applyBorder="1" applyAlignment="1">
      <alignment horizontal="left"/>
    </xf>
    <xf numFmtId="181" fontId="4" fillId="0" borderId="1" xfId="0" applyNumberFormat="1" applyFont="1" applyBorder="1" applyAlignment="1">
      <alignment horizontal="center"/>
    </xf>
    <xf numFmtId="179" fontId="4" fillId="0" borderId="0" xfId="0" applyNumberFormat="1" applyFont="1"/>
    <xf numFmtId="177" fontId="4" fillId="0" borderId="1" xfId="2" applyNumberFormat="1" applyFont="1" applyBorder="1"/>
    <xf numFmtId="178" fontId="4" fillId="0" borderId="0" xfId="0" applyNumberFormat="1" applyFont="1"/>
    <xf numFmtId="10" fontId="4" fillId="0" borderId="1" xfId="1" applyNumberFormat="1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4" fillId="0" borderId="6" xfId="0" applyFont="1" applyFill="1" applyBorder="1" applyAlignment="1">
      <alignment horizontal="left"/>
    </xf>
    <xf numFmtId="180" fontId="4" fillId="0" borderId="0" xfId="0" applyNumberFormat="1" applyFont="1" applyAlignment="1">
      <alignment horizontal="center"/>
    </xf>
    <xf numFmtId="181" fontId="4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left"/>
    </xf>
    <xf numFmtId="182" fontId="4" fillId="0" borderId="0" xfId="0" applyNumberFormat="1" applyFont="1" applyAlignment="1">
      <alignment horizontal="center"/>
    </xf>
    <xf numFmtId="0" fontId="4" fillId="0" borderId="3" xfId="0" applyFont="1" applyBorder="1" applyAlignment="1">
      <alignment horizontal="centerContinuous"/>
    </xf>
    <xf numFmtId="0" fontId="4" fillId="0" borderId="1" xfId="0" applyFont="1" applyBorder="1" applyAlignment="1">
      <alignment horizontal="centerContinuous"/>
    </xf>
    <xf numFmtId="0" fontId="4" fillId="0" borderId="4" xfId="0" applyFont="1" applyBorder="1"/>
    <xf numFmtId="176" fontId="4" fillId="0" borderId="1" xfId="0" applyNumberFormat="1" applyFont="1" applyBorder="1"/>
    <xf numFmtId="0" fontId="4" fillId="0" borderId="2" xfId="0" applyFont="1" applyBorder="1"/>
    <xf numFmtId="0" fontId="4" fillId="0" borderId="5" xfId="0" applyFont="1" applyBorder="1"/>
    <xf numFmtId="0" fontId="4" fillId="0" borderId="3" xfId="0" applyFont="1" applyBorder="1"/>
    <xf numFmtId="43" fontId="4" fillId="0" borderId="1" xfId="0" applyNumberFormat="1" applyFont="1" applyBorder="1"/>
    <xf numFmtId="9" fontId="4" fillId="0" borderId="0" xfId="1" applyFont="1"/>
    <xf numFmtId="10" fontId="5" fillId="0" borderId="0" xfId="1" applyNumberFormat="1" applyFont="1"/>
    <xf numFmtId="10" fontId="4" fillId="0" borderId="0" xfId="1" applyNumberFormat="1" applyFont="1"/>
    <xf numFmtId="2" fontId="4" fillId="0" borderId="0" xfId="0" applyNumberFormat="1" applyFont="1"/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3" xfId="0" applyFont="1" applyBorder="1" applyAlignment="1">
      <alignment horizontal="left"/>
    </xf>
  </cellXfs>
  <cellStyles count="3">
    <cellStyle name="百分比" xfId="1" builtinId="5"/>
    <cellStyle name="常规" xfId="0" builtinId="0"/>
    <cellStyle name="千位分隔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8"/>
  <sheetViews>
    <sheetView tabSelected="1" workbookViewId="0">
      <selection sqref="A1:Y1"/>
    </sheetView>
  </sheetViews>
  <sheetFormatPr defaultRowHeight="14.25" customHeight="1"/>
  <cols>
    <col min="1" max="1" width="3.625" style="1" customWidth="1"/>
    <col min="2" max="2" width="7.25" style="1" customWidth="1"/>
    <col min="3" max="3" width="6.875" style="1" customWidth="1"/>
    <col min="4" max="4" width="11.375" style="1" bestFit="1" customWidth="1"/>
    <col min="5" max="5" width="9.375" style="1" bestFit="1" customWidth="1"/>
    <col min="6" max="6" width="11.25" style="1" bestFit="1" customWidth="1"/>
    <col min="7" max="7" width="11.375" style="1" bestFit="1" customWidth="1"/>
    <col min="8" max="10" width="11.25" style="1" bestFit="1" customWidth="1"/>
    <col min="11" max="12" width="11.375" style="1" bestFit="1" customWidth="1"/>
    <col min="13" max="13" width="19.125" style="1" bestFit="1" customWidth="1"/>
    <col min="14" max="14" width="11.25" style="1" bestFit="1" customWidth="1"/>
    <col min="15" max="16" width="13" style="1" customWidth="1"/>
    <col min="17" max="17" width="13.625" style="1" customWidth="1"/>
    <col min="18" max="18" width="12.75" style="1" customWidth="1"/>
    <col min="19" max="25" width="13" style="1" customWidth="1"/>
    <col min="26" max="16384" width="9" style="1"/>
  </cols>
  <sheetData>
    <row r="1" spans="1:25" ht="12">
      <c r="A1" s="37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 ht="12"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ht="12">
      <c r="D3" s="4" t="s">
        <v>0</v>
      </c>
      <c r="E3" s="4" t="s">
        <v>1</v>
      </c>
      <c r="F3" s="4" t="s">
        <v>2</v>
      </c>
      <c r="G3" s="4" t="s">
        <v>0</v>
      </c>
      <c r="H3" s="4" t="s">
        <v>1</v>
      </c>
      <c r="I3" s="4" t="s">
        <v>2</v>
      </c>
      <c r="K3" s="4" t="s">
        <v>0</v>
      </c>
      <c r="L3" s="4" t="s">
        <v>39</v>
      </c>
      <c r="M3" s="4" t="s">
        <v>55</v>
      </c>
    </row>
    <row r="4" spans="1:25" ht="13.5">
      <c r="D4" s="4" t="s">
        <v>3</v>
      </c>
      <c r="E4" s="5" t="s">
        <v>46</v>
      </c>
      <c r="F4" s="6">
        <v>60</v>
      </c>
      <c r="G4" s="4" t="s">
        <v>4</v>
      </c>
      <c r="H4" s="5" t="s">
        <v>5</v>
      </c>
      <c r="I4" s="7">
        <v>5500</v>
      </c>
      <c r="K4" s="8" t="s">
        <v>50</v>
      </c>
      <c r="L4" s="9">
        <f>M4*I7</f>
        <v>36431.587500000001</v>
      </c>
      <c r="M4" s="10">
        <f>370*7000/4800*220/10^6</f>
        <v>0.11870833333333335</v>
      </c>
      <c r="N4" s="1" t="s">
        <v>40</v>
      </c>
      <c r="O4" s="1">
        <v>220</v>
      </c>
      <c r="P4" s="1" t="s">
        <v>56</v>
      </c>
    </row>
    <row r="5" spans="1:25" ht="14.25" customHeight="1">
      <c r="D5" s="4" t="s">
        <v>7</v>
      </c>
      <c r="E5" s="5" t="s">
        <v>47</v>
      </c>
      <c r="F5" s="6">
        <f>60*4500</f>
        <v>270000</v>
      </c>
      <c r="G5" s="4" t="s">
        <v>8</v>
      </c>
      <c r="H5" s="5" t="s">
        <v>9</v>
      </c>
      <c r="I5" s="11">
        <v>7.0000000000000007E-2</v>
      </c>
      <c r="K5" s="12" t="s">
        <v>51</v>
      </c>
      <c r="L5" s="9">
        <f>M5*I7</f>
        <v>613.80000000000007</v>
      </c>
      <c r="M5" s="13">
        <v>2E-3</v>
      </c>
      <c r="N5" s="1" t="s">
        <v>41</v>
      </c>
      <c r="O5" s="1">
        <v>4779</v>
      </c>
      <c r="P5" s="1" t="s">
        <v>43</v>
      </c>
    </row>
    <row r="6" spans="1:25" ht="14.25" customHeight="1">
      <c r="B6" s="14"/>
      <c r="D6" s="4" t="s">
        <v>10</v>
      </c>
      <c r="E6" s="5" t="s">
        <v>47</v>
      </c>
      <c r="F6" s="15">
        <f>F5*20%</f>
        <v>54000</v>
      </c>
      <c r="G6" s="4" t="s">
        <v>11</v>
      </c>
      <c r="H6" s="5" t="s">
        <v>9</v>
      </c>
      <c r="I6" s="11">
        <v>0.05</v>
      </c>
      <c r="K6" s="8" t="s">
        <v>52</v>
      </c>
      <c r="L6" s="9">
        <f>20*F4</f>
        <v>1200</v>
      </c>
      <c r="M6" s="13">
        <f>L6/I7</f>
        <v>3.9100684261974585E-3</v>
      </c>
      <c r="N6" s="1" t="s">
        <v>42</v>
      </c>
      <c r="O6" s="1">
        <v>370</v>
      </c>
      <c r="P6" s="1" t="s">
        <v>57</v>
      </c>
    </row>
    <row r="7" spans="1:25" ht="14.25" customHeight="1">
      <c r="D7" s="4" t="s">
        <v>12</v>
      </c>
      <c r="E7" s="5" t="s">
        <v>6</v>
      </c>
      <c r="F7" s="16">
        <f>F5-F6</f>
        <v>216000</v>
      </c>
      <c r="G7" s="4" t="s">
        <v>13</v>
      </c>
      <c r="H7" s="5" t="s">
        <v>58</v>
      </c>
      <c r="I7" s="6">
        <f>(F4*I4)*(1-I5)</f>
        <v>306900</v>
      </c>
      <c r="K7" s="8" t="s">
        <v>53</v>
      </c>
      <c r="L7" s="9">
        <f>F5*2.5%</f>
        <v>6750</v>
      </c>
      <c r="M7" s="13">
        <f>L7/I7</f>
        <v>2.1994134897360705E-2</v>
      </c>
    </row>
    <row r="8" spans="1:25" ht="14.25" customHeight="1">
      <c r="D8" s="4" t="s">
        <v>14</v>
      </c>
      <c r="E8" s="5" t="s">
        <v>9</v>
      </c>
      <c r="F8" s="17">
        <v>5.7599999999999998E-2</v>
      </c>
      <c r="G8" s="4" t="s">
        <v>15</v>
      </c>
      <c r="H8" s="5" t="s">
        <v>59</v>
      </c>
      <c r="I8" s="4">
        <v>0.30499999999999999</v>
      </c>
      <c r="K8" s="8" t="s">
        <v>54</v>
      </c>
      <c r="L8" s="9">
        <f>3*400*(1+50%)</f>
        <v>1800</v>
      </c>
      <c r="M8" s="13">
        <f>L8/I7</f>
        <v>5.8651026392961877E-3</v>
      </c>
    </row>
    <row r="9" spans="1:25" ht="14.25" customHeight="1">
      <c r="D9" s="4" t="s">
        <v>16</v>
      </c>
      <c r="E9" s="5" t="s">
        <v>17</v>
      </c>
      <c r="F9" s="4">
        <v>20</v>
      </c>
      <c r="G9" s="4" t="s">
        <v>18</v>
      </c>
      <c r="H9" s="5" t="s">
        <v>19</v>
      </c>
      <c r="I9" s="17">
        <v>0.08</v>
      </c>
      <c r="K9" s="8" t="s">
        <v>44</v>
      </c>
      <c r="L9" s="9">
        <f>15*300</f>
        <v>4500</v>
      </c>
      <c r="M9" s="13">
        <f>L9/I7</f>
        <v>1.466275659824047E-2</v>
      </c>
    </row>
    <row r="10" spans="1:25" ht="14.25" customHeight="1">
      <c r="B10" s="18"/>
      <c r="C10" s="19"/>
      <c r="D10" s="4" t="s">
        <v>20</v>
      </c>
      <c r="E10" s="5" t="s">
        <v>17</v>
      </c>
      <c r="F10" s="4">
        <v>15</v>
      </c>
      <c r="G10" s="19"/>
      <c r="K10" s="20" t="s">
        <v>38</v>
      </c>
      <c r="L10" s="21">
        <f>SUM(L4:L9)</f>
        <v>51295.387500000004</v>
      </c>
      <c r="M10" s="22">
        <f>SUM(M4:M9)</f>
        <v>0.16714039589442814</v>
      </c>
    </row>
    <row r="11" spans="1:25" ht="14.25" customHeight="1">
      <c r="B11" s="18"/>
      <c r="G11" s="1" t="s">
        <v>21</v>
      </c>
      <c r="H11" s="23">
        <f>IRR(E31:Y31)</f>
        <v>8.095817260065985E-2</v>
      </c>
      <c r="K11" s="20" t="s">
        <v>45</v>
      </c>
      <c r="M11" s="24">
        <f>M10*1.187</f>
        <v>0.19839564992668621</v>
      </c>
    </row>
    <row r="13" spans="1:25" ht="14.25" customHeight="1">
      <c r="B13" s="38" t="s">
        <v>64</v>
      </c>
      <c r="C13" s="39"/>
      <c r="D13" s="25" t="s">
        <v>22</v>
      </c>
      <c r="E13" s="26">
        <v>0</v>
      </c>
      <c r="F13" s="5">
        <v>1</v>
      </c>
      <c r="G13" s="5">
        <f t="shared" ref="G13:Y13" si="0">F13+1</f>
        <v>2</v>
      </c>
      <c r="H13" s="5">
        <f>G13+1</f>
        <v>3</v>
      </c>
      <c r="I13" s="5">
        <f t="shared" si="0"/>
        <v>4</v>
      </c>
      <c r="J13" s="5">
        <f t="shared" si="0"/>
        <v>5</v>
      </c>
      <c r="K13" s="5">
        <f t="shared" si="0"/>
        <v>6</v>
      </c>
      <c r="L13" s="5">
        <f t="shared" si="0"/>
        <v>7</v>
      </c>
      <c r="M13" s="5">
        <f t="shared" si="0"/>
        <v>8</v>
      </c>
      <c r="N13" s="5">
        <f t="shared" si="0"/>
        <v>9</v>
      </c>
      <c r="O13" s="5">
        <f t="shared" si="0"/>
        <v>10</v>
      </c>
      <c r="P13" s="5">
        <f t="shared" si="0"/>
        <v>11</v>
      </c>
      <c r="Q13" s="5">
        <f t="shared" si="0"/>
        <v>12</v>
      </c>
      <c r="R13" s="5">
        <f t="shared" si="0"/>
        <v>13</v>
      </c>
      <c r="S13" s="5">
        <f t="shared" si="0"/>
        <v>14</v>
      </c>
      <c r="T13" s="5">
        <f t="shared" si="0"/>
        <v>15</v>
      </c>
      <c r="U13" s="5">
        <f t="shared" si="0"/>
        <v>16</v>
      </c>
      <c r="V13" s="5">
        <f t="shared" si="0"/>
        <v>17</v>
      </c>
      <c r="W13" s="5">
        <f t="shared" si="0"/>
        <v>18</v>
      </c>
      <c r="X13" s="5">
        <f t="shared" si="0"/>
        <v>19</v>
      </c>
      <c r="Y13" s="5">
        <f t="shared" si="0"/>
        <v>20</v>
      </c>
    </row>
    <row r="14" spans="1:25" ht="14.25" customHeight="1">
      <c r="B14" s="27" t="s">
        <v>23</v>
      </c>
      <c r="C14" s="18"/>
      <c r="D14" s="18"/>
      <c r="E14" s="28"/>
      <c r="F14" s="6">
        <f>F15+F18+F19+F20</f>
        <v>93604.5</v>
      </c>
      <c r="G14" s="6">
        <f t="shared" ref="G14:Y14" si="1">G15+G18+G19+G20</f>
        <v>93604.5</v>
      </c>
      <c r="H14" s="6">
        <f t="shared" si="1"/>
        <v>93604.5</v>
      </c>
      <c r="I14" s="6">
        <f t="shared" si="1"/>
        <v>93604.5</v>
      </c>
      <c r="J14" s="6">
        <f t="shared" si="1"/>
        <v>93604.5</v>
      </c>
      <c r="K14" s="6">
        <f t="shared" si="1"/>
        <v>93604.5</v>
      </c>
      <c r="L14" s="6">
        <f t="shared" si="1"/>
        <v>93604.5</v>
      </c>
      <c r="M14" s="6">
        <f t="shared" si="1"/>
        <v>93604.5</v>
      </c>
      <c r="N14" s="6">
        <f t="shared" si="1"/>
        <v>93604.5</v>
      </c>
      <c r="O14" s="6">
        <f t="shared" si="1"/>
        <v>93604.5</v>
      </c>
      <c r="P14" s="6">
        <f t="shared" si="1"/>
        <v>93604.5</v>
      </c>
      <c r="Q14" s="6">
        <f t="shared" si="1"/>
        <v>93604.5</v>
      </c>
      <c r="R14" s="6">
        <f t="shared" si="1"/>
        <v>93604.5</v>
      </c>
      <c r="S14" s="6">
        <f t="shared" si="1"/>
        <v>93604.5</v>
      </c>
      <c r="T14" s="6">
        <f t="shared" si="1"/>
        <v>93604.5</v>
      </c>
      <c r="U14" s="6">
        <f t="shared" si="1"/>
        <v>93604.5</v>
      </c>
      <c r="V14" s="6">
        <f t="shared" si="1"/>
        <v>93604.5</v>
      </c>
      <c r="W14" s="6">
        <f t="shared" si="1"/>
        <v>93604.5</v>
      </c>
      <c r="X14" s="6">
        <f t="shared" si="1"/>
        <v>93604.5</v>
      </c>
      <c r="Y14" s="6">
        <f t="shared" si="1"/>
        <v>93604.5</v>
      </c>
    </row>
    <row r="15" spans="1:25" ht="14.25" customHeight="1">
      <c r="B15" s="29"/>
      <c r="C15" s="30" t="s">
        <v>24</v>
      </c>
      <c r="D15" s="30"/>
      <c r="E15" s="28"/>
      <c r="F15" s="28">
        <f>F16*F17</f>
        <v>93604.5</v>
      </c>
      <c r="G15" s="28">
        <f t="shared" ref="G15:Y15" si="2">G16*G17</f>
        <v>93604.5</v>
      </c>
      <c r="H15" s="28">
        <f t="shared" si="2"/>
        <v>93604.5</v>
      </c>
      <c r="I15" s="28">
        <f t="shared" si="2"/>
        <v>93604.5</v>
      </c>
      <c r="J15" s="28">
        <f t="shared" si="2"/>
        <v>93604.5</v>
      </c>
      <c r="K15" s="28">
        <f t="shared" si="2"/>
        <v>93604.5</v>
      </c>
      <c r="L15" s="28">
        <f t="shared" si="2"/>
        <v>93604.5</v>
      </c>
      <c r="M15" s="28">
        <f t="shared" si="2"/>
        <v>93604.5</v>
      </c>
      <c r="N15" s="28">
        <f t="shared" si="2"/>
        <v>93604.5</v>
      </c>
      <c r="O15" s="28">
        <f t="shared" si="2"/>
        <v>93604.5</v>
      </c>
      <c r="P15" s="28">
        <f t="shared" si="2"/>
        <v>93604.5</v>
      </c>
      <c r="Q15" s="28">
        <f t="shared" si="2"/>
        <v>93604.5</v>
      </c>
      <c r="R15" s="28">
        <f t="shared" si="2"/>
        <v>93604.5</v>
      </c>
      <c r="S15" s="28">
        <f t="shared" si="2"/>
        <v>93604.5</v>
      </c>
      <c r="T15" s="28">
        <f t="shared" si="2"/>
        <v>93604.5</v>
      </c>
      <c r="U15" s="28">
        <f t="shared" si="2"/>
        <v>93604.5</v>
      </c>
      <c r="V15" s="28">
        <f t="shared" si="2"/>
        <v>93604.5</v>
      </c>
      <c r="W15" s="28">
        <f t="shared" si="2"/>
        <v>93604.5</v>
      </c>
      <c r="X15" s="28">
        <f t="shared" si="2"/>
        <v>93604.5</v>
      </c>
      <c r="Y15" s="28">
        <f t="shared" si="2"/>
        <v>93604.5</v>
      </c>
    </row>
    <row r="16" spans="1:25" ht="14.25" customHeight="1">
      <c r="B16" s="27"/>
      <c r="C16" s="18"/>
      <c r="D16" s="18" t="s">
        <v>13</v>
      </c>
      <c r="E16" s="28"/>
      <c r="F16" s="28">
        <f>$I$7</f>
        <v>306900</v>
      </c>
      <c r="G16" s="28">
        <f t="shared" ref="G16:Y16" si="3">$I$7</f>
        <v>306900</v>
      </c>
      <c r="H16" s="28">
        <f t="shared" si="3"/>
        <v>306900</v>
      </c>
      <c r="I16" s="28">
        <f t="shared" si="3"/>
        <v>306900</v>
      </c>
      <c r="J16" s="28">
        <f t="shared" si="3"/>
        <v>306900</v>
      </c>
      <c r="K16" s="28">
        <f t="shared" si="3"/>
        <v>306900</v>
      </c>
      <c r="L16" s="28">
        <f t="shared" si="3"/>
        <v>306900</v>
      </c>
      <c r="M16" s="28">
        <f t="shared" si="3"/>
        <v>306900</v>
      </c>
      <c r="N16" s="28">
        <f t="shared" si="3"/>
        <v>306900</v>
      </c>
      <c r="O16" s="28">
        <f t="shared" si="3"/>
        <v>306900</v>
      </c>
      <c r="P16" s="28">
        <f t="shared" si="3"/>
        <v>306900</v>
      </c>
      <c r="Q16" s="28">
        <f t="shared" si="3"/>
        <v>306900</v>
      </c>
      <c r="R16" s="28">
        <f t="shared" si="3"/>
        <v>306900</v>
      </c>
      <c r="S16" s="28">
        <f t="shared" si="3"/>
        <v>306900</v>
      </c>
      <c r="T16" s="28">
        <f t="shared" si="3"/>
        <v>306900</v>
      </c>
      <c r="U16" s="28">
        <f t="shared" si="3"/>
        <v>306900</v>
      </c>
      <c r="V16" s="28">
        <f t="shared" si="3"/>
        <v>306900</v>
      </c>
      <c r="W16" s="28">
        <f t="shared" si="3"/>
        <v>306900</v>
      </c>
      <c r="X16" s="28">
        <f t="shared" si="3"/>
        <v>306900</v>
      </c>
      <c r="Y16" s="28">
        <f t="shared" si="3"/>
        <v>306900</v>
      </c>
    </row>
    <row r="17" spans="2:25" ht="14.25" customHeight="1">
      <c r="B17" s="29"/>
      <c r="C17" s="30"/>
      <c r="D17" s="30" t="s">
        <v>25</v>
      </c>
      <c r="E17" s="28"/>
      <c r="F17" s="28">
        <f>$I$8</f>
        <v>0.30499999999999999</v>
      </c>
      <c r="G17" s="28">
        <f t="shared" ref="G17:Y17" si="4">$I$8</f>
        <v>0.30499999999999999</v>
      </c>
      <c r="H17" s="28">
        <f t="shared" si="4"/>
        <v>0.30499999999999999</v>
      </c>
      <c r="I17" s="28">
        <f t="shared" si="4"/>
        <v>0.30499999999999999</v>
      </c>
      <c r="J17" s="28">
        <f t="shared" si="4"/>
        <v>0.30499999999999999</v>
      </c>
      <c r="K17" s="28">
        <f t="shared" si="4"/>
        <v>0.30499999999999999</v>
      </c>
      <c r="L17" s="28">
        <f t="shared" si="4"/>
        <v>0.30499999999999999</v>
      </c>
      <c r="M17" s="28">
        <f t="shared" si="4"/>
        <v>0.30499999999999999</v>
      </c>
      <c r="N17" s="28">
        <f t="shared" si="4"/>
        <v>0.30499999999999999</v>
      </c>
      <c r="O17" s="28">
        <f t="shared" si="4"/>
        <v>0.30499999999999999</v>
      </c>
      <c r="P17" s="28">
        <f t="shared" si="4"/>
        <v>0.30499999999999999</v>
      </c>
      <c r="Q17" s="28">
        <f t="shared" si="4"/>
        <v>0.30499999999999999</v>
      </c>
      <c r="R17" s="28">
        <f t="shared" si="4"/>
        <v>0.30499999999999999</v>
      </c>
      <c r="S17" s="28">
        <f t="shared" si="4"/>
        <v>0.30499999999999999</v>
      </c>
      <c r="T17" s="28">
        <f t="shared" si="4"/>
        <v>0.30499999999999999</v>
      </c>
      <c r="U17" s="28">
        <f t="shared" si="4"/>
        <v>0.30499999999999999</v>
      </c>
      <c r="V17" s="28">
        <f t="shared" si="4"/>
        <v>0.30499999999999999</v>
      </c>
      <c r="W17" s="28">
        <f t="shared" si="4"/>
        <v>0.30499999999999999</v>
      </c>
      <c r="X17" s="28">
        <f t="shared" si="4"/>
        <v>0.30499999999999999</v>
      </c>
      <c r="Y17" s="28">
        <f t="shared" si="4"/>
        <v>0.30499999999999999</v>
      </c>
    </row>
    <row r="18" spans="2:25" ht="14.25" customHeight="1">
      <c r="B18" s="29"/>
      <c r="C18" s="30" t="s">
        <v>26</v>
      </c>
      <c r="D18" s="30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</row>
    <row r="19" spans="2:25" ht="14.25" customHeight="1">
      <c r="B19" s="29"/>
      <c r="C19" s="30" t="s">
        <v>27</v>
      </c>
      <c r="D19" s="30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</row>
    <row r="20" spans="2:25" ht="14.25" customHeight="1">
      <c r="B20" s="29"/>
      <c r="C20" s="30" t="s">
        <v>28</v>
      </c>
      <c r="D20" s="30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</row>
    <row r="21" spans="2:25" ht="14.25" customHeight="1">
      <c r="B21" s="27" t="s">
        <v>29</v>
      </c>
      <c r="C21" s="18"/>
      <c r="D21" s="18"/>
      <c r="E21" s="28">
        <f t="shared" ref="E21:Y21" si="5">E22+E23+E24+SUM(E26:E30)</f>
        <v>54000</v>
      </c>
      <c r="F21" s="28">
        <f t="shared" si="5"/>
        <v>93472.696587557919</v>
      </c>
      <c r="G21" s="28">
        <f t="shared" si="5"/>
        <v>92944.758027557924</v>
      </c>
      <c r="H21" s="28">
        <f t="shared" si="5"/>
        <v>92416.819467557929</v>
      </c>
      <c r="I21" s="28">
        <f t="shared" si="5"/>
        <v>91888.880907557919</v>
      </c>
      <c r="J21" s="28">
        <f t="shared" si="5"/>
        <v>91360.942347557924</v>
      </c>
      <c r="K21" s="28">
        <f t="shared" si="5"/>
        <v>90833.003787557929</v>
      </c>
      <c r="L21" s="28">
        <f t="shared" si="5"/>
        <v>90305.06522755792</v>
      </c>
      <c r="M21" s="28">
        <f t="shared" si="5"/>
        <v>89777.126667557925</v>
      </c>
      <c r="N21" s="28">
        <f t="shared" si="5"/>
        <v>89249.188107557929</v>
      </c>
      <c r="O21" s="28">
        <f t="shared" si="5"/>
        <v>88721.24954755792</v>
      </c>
      <c r="P21" s="28">
        <f t="shared" si="5"/>
        <v>88193.310987557925</v>
      </c>
      <c r="Q21" s="28">
        <f t="shared" si="5"/>
        <v>87665.372427557915</v>
      </c>
      <c r="R21" s="28">
        <f t="shared" si="5"/>
        <v>87137.43386755792</v>
      </c>
      <c r="S21" s="28">
        <f t="shared" si="5"/>
        <v>86609.495307557925</v>
      </c>
      <c r="T21" s="28">
        <f t="shared" si="5"/>
        <v>86081.55674755793</v>
      </c>
      <c r="U21" s="28">
        <f t="shared" si="5"/>
        <v>71153.61818755792</v>
      </c>
      <c r="V21" s="28">
        <f t="shared" si="5"/>
        <v>71153.61818755792</v>
      </c>
      <c r="W21" s="28">
        <f t="shared" si="5"/>
        <v>71153.61818755792</v>
      </c>
      <c r="X21" s="28">
        <f t="shared" si="5"/>
        <v>71153.61818755792</v>
      </c>
      <c r="Y21" s="28">
        <f t="shared" si="5"/>
        <v>71153.61818755792</v>
      </c>
    </row>
    <row r="22" spans="2:25" ht="14.25" customHeight="1">
      <c r="B22" s="29"/>
      <c r="C22" s="30" t="s">
        <v>30</v>
      </c>
      <c r="D22" s="30"/>
      <c r="E22" s="28">
        <f>F6</f>
        <v>54000</v>
      </c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</row>
    <row r="23" spans="2:25" ht="14.25" customHeight="1">
      <c r="B23" s="29"/>
      <c r="C23" s="30" t="s">
        <v>31</v>
      </c>
      <c r="D23" s="30"/>
      <c r="E23" s="28"/>
      <c r="F23" s="28">
        <f>F15/(1+18.7%)*18.7%</f>
        <v>14746.454507160908</v>
      </c>
      <c r="G23" s="28">
        <f t="shared" ref="G23:Y23" si="6">G15/(1+18.7%)*18.7%</f>
        <v>14746.454507160908</v>
      </c>
      <c r="H23" s="28">
        <f t="shared" si="6"/>
        <v>14746.454507160908</v>
      </c>
      <c r="I23" s="28">
        <f t="shared" si="6"/>
        <v>14746.454507160908</v>
      </c>
      <c r="J23" s="28">
        <f t="shared" si="6"/>
        <v>14746.454507160908</v>
      </c>
      <c r="K23" s="28">
        <f t="shared" si="6"/>
        <v>14746.454507160908</v>
      </c>
      <c r="L23" s="28">
        <f t="shared" si="6"/>
        <v>14746.454507160908</v>
      </c>
      <c r="M23" s="28">
        <f t="shared" si="6"/>
        <v>14746.454507160908</v>
      </c>
      <c r="N23" s="28">
        <f t="shared" si="6"/>
        <v>14746.454507160908</v>
      </c>
      <c r="O23" s="28">
        <f t="shared" si="6"/>
        <v>14746.454507160908</v>
      </c>
      <c r="P23" s="28">
        <f t="shared" si="6"/>
        <v>14746.454507160908</v>
      </c>
      <c r="Q23" s="28">
        <f t="shared" si="6"/>
        <v>14746.454507160908</v>
      </c>
      <c r="R23" s="28">
        <f t="shared" si="6"/>
        <v>14746.454507160908</v>
      </c>
      <c r="S23" s="28">
        <f t="shared" si="6"/>
        <v>14746.454507160908</v>
      </c>
      <c r="T23" s="28">
        <f t="shared" si="6"/>
        <v>14746.454507160908</v>
      </c>
      <c r="U23" s="28">
        <f t="shared" si="6"/>
        <v>14746.454507160908</v>
      </c>
      <c r="V23" s="28">
        <f t="shared" si="6"/>
        <v>14746.454507160908</v>
      </c>
      <c r="W23" s="28">
        <f t="shared" si="6"/>
        <v>14746.454507160908</v>
      </c>
      <c r="X23" s="28">
        <f t="shared" si="6"/>
        <v>14746.454507160908</v>
      </c>
      <c r="Y23" s="28">
        <f t="shared" si="6"/>
        <v>14746.454507160908</v>
      </c>
    </row>
    <row r="24" spans="2:25" ht="14.25" customHeight="1">
      <c r="B24" s="29"/>
      <c r="C24" s="30" t="s">
        <v>60</v>
      </c>
      <c r="D24" s="31"/>
      <c r="E24" s="28"/>
      <c r="F24" s="28">
        <f>$L$10</f>
        <v>51295.387500000004</v>
      </c>
      <c r="G24" s="28">
        <f t="shared" ref="G24:Y24" si="7">$L$10</f>
        <v>51295.387500000004</v>
      </c>
      <c r="H24" s="28">
        <f t="shared" si="7"/>
        <v>51295.387500000004</v>
      </c>
      <c r="I24" s="28">
        <f t="shared" si="7"/>
        <v>51295.387500000004</v>
      </c>
      <c r="J24" s="28">
        <f t="shared" si="7"/>
        <v>51295.387500000004</v>
      </c>
      <c r="K24" s="28">
        <f t="shared" si="7"/>
        <v>51295.387500000004</v>
      </c>
      <c r="L24" s="28">
        <f t="shared" si="7"/>
        <v>51295.387500000004</v>
      </c>
      <c r="M24" s="28">
        <f t="shared" si="7"/>
        <v>51295.387500000004</v>
      </c>
      <c r="N24" s="28">
        <f t="shared" si="7"/>
        <v>51295.387500000004</v>
      </c>
      <c r="O24" s="28">
        <f t="shared" si="7"/>
        <v>51295.387500000004</v>
      </c>
      <c r="P24" s="28">
        <f t="shared" si="7"/>
        <v>51295.387500000004</v>
      </c>
      <c r="Q24" s="28">
        <f t="shared" si="7"/>
        <v>51295.387500000004</v>
      </c>
      <c r="R24" s="28">
        <f t="shared" si="7"/>
        <v>51295.387500000004</v>
      </c>
      <c r="S24" s="28">
        <f t="shared" si="7"/>
        <v>51295.387500000004</v>
      </c>
      <c r="T24" s="28">
        <f t="shared" si="7"/>
        <v>51295.387500000004</v>
      </c>
      <c r="U24" s="28">
        <f t="shared" si="7"/>
        <v>51295.387500000004</v>
      </c>
      <c r="V24" s="28">
        <f t="shared" si="7"/>
        <v>51295.387500000004</v>
      </c>
      <c r="W24" s="28">
        <f t="shared" si="7"/>
        <v>51295.387500000004</v>
      </c>
      <c r="X24" s="28">
        <f t="shared" si="7"/>
        <v>51295.387500000004</v>
      </c>
      <c r="Y24" s="28">
        <f t="shared" si="7"/>
        <v>51295.387500000004</v>
      </c>
    </row>
    <row r="25" spans="2:25" ht="12">
      <c r="B25" s="40" t="s">
        <v>61</v>
      </c>
      <c r="C25" s="41"/>
      <c r="D25" s="42"/>
      <c r="E25" s="28"/>
      <c r="F25" s="32">
        <f>IF(1/$I$6&gt;=(F13+19-$F$9),$F$5*$I$6,0)</f>
        <v>13500</v>
      </c>
      <c r="G25" s="32">
        <f t="shared" ref="G25:Y25" si="8">IF(1/$I$6&gt;=(G13+19-$F$9),$F$5*$I$6,0)</f>
        <v>13500</v>
      </c>
      <c r="H25" s="32">
        <f t="shared" si="8"/>
        <v>13500</v>
      </c>
      <c r="I25" s="32">
        <f t="shared" si="8"/>
        <v>13500</v>
      </c>
      <c r="J25" s="32">
        <f t="shared" si="8"/>
        <v>13500</v>
      </c>
      <c r="K25" s="32">
        <f t="shared" si="8"/>
        <v>13500</v>
      </c>
      <c r="L25" s="32">
        <f t="shared" si="8"/>
        <v>13500</v>
      </c>
      <c r="M25" s="32">
        <f t="shared" si="8"/>
        <v>13500</v>
      </c>
      <c r="N25" s="32">
        <f t="shared" si="8"/>
        <v>13500</v>
      </c>
      <c r="O25" s="32">
        <f t="shared" si="8"/>
        <v>13500</v>
      </c>
      <c r="P25" s="32">
        <f t="shared" si="8"/>
        <v>13500</v>
      </c>
      <c r="Q25" s="32">
        <f t="shared" si="8"/>
        <v>13500</v>
      </c>
      <c r="R25" s="32">
        <f t="shared" si="8"/>
        <v>13500</v>
      </c>
      <c r="S25" s="32">
        <f t="shared" si="8"/>
        <v>13500</v>
      </c>
      <c r="T25" s="32">
        <f t="shared" si="8"/>
        <v>13500</v>
      </c>
      <c r="U25" s="32">
        <f t="shared" si="8"/>
        <v>13500</v>
      </c>
      <c r="V25" s="32">
        <f t="shared" si="8"/>
        <v>13500</v>
      </c>
      <c r="W25" s="32">
        <f t="shared" si="8"/>
        <v>13500</v>
      </c>
      <c r="X25" s="32">
        <f t="shared" si="8"/>
        <v>13500</v>
      </c>
      <c r="Y25" s="32">
        <f t="shared" si="8"/>
        <v>13500</v>
      </c>
    </row>
    <row r="26" spans="2:25" ht="12">
      <c r="B26" s="27"/>
      <c r="C26" s="18" t="s">
        <v>62</v>
      </c>
      <c r="D26" s="18"/>
      <c r="E26" s="28"/>
      <c r="F26" s="32">
        <f>IF($F$10&gt;=F13,$F$7/$F$10,0)</f>
        <v>14400</v>
      </c>
      <c r="G26" s="32">
        <f t="shared" ref="G26:R26" si="9">IF($F$10&gt;=G13,$F$7/$F$10,0)</f>
        <v>14400</v>
      </c>
      <c r="H26" s="32">
        <f t="shared" si="9"/>
        <v>14400</v>
      </c>
      <c r="I26" s="32">
        <f t="shared" si="9"/>
        <v>14400</v>
      </c>
      <c r="J26" s="32">
        <f t="shared" si="9"/>
        <v>14400</v>
      </c>
      <c r="K26" s="32">
        <f t="shared" si="9"/>
        <v>14400</v>
      </c>
      <c r="L26" s="32">
        <f t="shared" si="9"/>
        <v>14400</v>
      </c>
      <c r="M26" s="32">
        <f t="shared" si="9"/>
        <v>14400</v>
      </c>
      <c r="N26" s="32">
        <f t="shared" si="9"/>
        <v>14400</v>
      </c>
      <c r="O26" s="32">
        <f t="shared" si="9"/>
        <v>14400</v>
      </c>
      <c r="P26" s="32">
        <f t="shared" si="9"/>
        <v>14400</v>
      </c>
      <c r="Q26" s="32">
        <f t="shared" si="9"/>
        <v>14400</v>
      </c>
      <c r="R26" s="32">
        <f t="shared" si="9"/>
        <v>14400</v>
      </c>
      <c r="S26" s="32">
        <f>IF($F$10&gt;=S13,$F$7/$F$10,0)</f>
        <v>14400</v>
      </c>
      <c r="T26" s="32">
        <f t="shared" ref="T26:Y26" si="10">IF($F$10&gt;=T13,$F$7/$F$10,0)</f>
        <v>14400</v>
      </c>
      <c r="U26" s="32">
        <f t="shared" si="10"/>
        <v>0</v>
      </c>
      <c r="V26" s="32">
        <f t="shared" si="10"/>
        <v>0</v>
      </c>
      <c r="W26" s="32">
        <f t="shared" si="10"/>
        <v>0</v>
      </c>
      <c r="X26" s="32">
        <f t="shared" si="10"/>
        <v>0</v>
      </c>
      <c r="Y26" s="32">
        <f t="shared" si="10"/>
        <v>0</v>
      </c>
    </row>
    <row r="27" spans="2:25" ht="12">
      <c r="B27" s="29"/>
      <c r="C27" s="30" t="s">
        <v>32</v>
      </c>
      <c r="D27" s="30"/>
      <c r="E27" s="28"/>
      <c r="F27" s="28">
        <f>IF($F$10&gt;=F13,($F$7-($F$7/$F$10)*E13)*$F$8,0)</f>
        <v>12441.6</v>
      </c>
      <c r="G27" s="28">
        <f t="shared" ref="G27:R27" si="11">IF($F$10&gt;=G13,($F$7-($F$7/$F$10)*F13)*$F$8,0)</f>
        <v>11612.16</v>
      </c>
      <c r="H27" s="28">
        <f t="shared" si="11"/>
        <v>10782.72</v>
      </c>
      <c r="I27" s="28">
        <f t="shared" si="11"/>
        <v>9953.2799999999988</v>
      </c>
      <c r="J27" s="28">
        <f t="shared" si="11"/>
        <v>9123.84</v>
      </c>
      <c r="K27" s="28">
        <f t="shared" si="11"/>
        <v>8294.4</v>
      </c>
      <c r="L27" s="28">
        <f t="shared" si="11"/>
        <v>7464.96</v>
      </c>
      <c r="M27" s="28">
        <f t="shared" si="11"/>
        <v>6635.5199999999995</v>
      </c>
      <c r="N27" s="28">
        <f t="shared" si="11"/>
        <v>5806.08</v>
      </c>
      <c r="O27" s="28">
        <f t="shared" si="11"/>
        <v>4976.6399999999994</v>
      </c>
      <c r="P27" s="28">
        <f t="shared" si="11"/>
        <v>4147.2</v>
      </c>
      <c r="Q27" s="28">
        <f t="shared" si="11"/>
        <v>3317.7599999999998</v>
      </c>
      <c r="R27" s="28">
        <f t="shared" si="11"/>
        <v>2488.3199999999997</v>
      </c>
      <c r="S27" s="28">
        <f>IF($F$10&gt;=S13,($F$7-($F$7/$F$10)*R13)*$F$8,0)</f>
        <v>1658.8799999999999</v>
      </c>
      <c r="T27" s="28">
        <f t="shared" ref="T27:Y27" si="12">IF($F$10&gt;=T13,($F$7-($F$7/$F$10)*S13)*$F$8,0)</f>
        <v>829.43999999999994</v>
      </c>
      <c r="U27" s="28">
        <f t="shared" si="12"/>
        <v>0</v>
      </c>
      <c r="V27" s="28">
        <f t="shared" si="12"/>
        <v>0</v>
      </c>
      <c r="W27" s="28">
        <f t="shared" si="12"/>
        <v>0</v>
      </c>
      <c r="X27" s="28">
        <f t="shared" si="12"/>
        <v>0</v>
      </c>
      <c r="Y27" s="28">
        <f t="shared" si="12"/>
        <v>0</v>
      </c>
    </row>
    <row r="28" spans="2:25" ht="12">
      <c r="B28" s="29"/>
      <c r="C28" s="30" t="s">
        <v>48</v>
      </c>
      <c r="D28" s="30"/>
      <c r="E28" s="28"/>
      <c r="F28" s="28">
        <f t="shared" ref="F28:Y28" si="13">IF((F15-F23-F24-F25-F27)&gt;0,(F15-F23-F24-F25-F27)*33%,0)</f>
        <v>534.94913763690056</v>
      </c>
      <c r="G28" s="28">
        <f t="shared" si="13"/>
        <v>808.66433763690077</v>
      </c>
      <c r="H28" s="28">
        <f t="shared" si="13"/>
        <v>1082.379537636901</v>
      </c>
      <c r="I28" s="28">
        <f t="shared" si="13"/>
        <v>1356.0947376369011</v>
      </c>
      <c r="J28" s="28">
        <f t="shared" si="13"/>
        <v>1629.8099376369007</v>
      </c>
      <c r="K28" s="28">
        <f t="shared" si="13"/>
        <v>1903.5251376369008</v>
      </c>
      <c r="L28" s="28">
        <f t="shared" si="13"/>
        <v>2177.2403376369007</v>
      </c>
      <c r="M28" s="28">
        <f t="shared" si="13"/>
        <v>2450.9555376369008</v>
      </c>
      <c r="N28" s="28">
        <f t="shared" si="13"/>
        <v>2724.6707376369009</v>
      </c>
      <c r="O28" s="28">
        <f t="shared" si="13"/>
        <v>2998.385937636901</v>
      </c>
      <c r="P28" s="28">
        <f t="shared" si="13"/>
        <v>3272.1011376369006</v>
      </c>
      <c r="Q28" s="28">
        <f t="shared" si="13"/>
        <v>3545.8163376369007</v>
      </c>
      <c r="R28" s="28">
        <f t="shared" si="13"/>
        <v>3819.5315376369008</v>
      </c>
      <c r="S28" s="28">
        <f t="shared" si="13"/>
        <v>4093.2467376369013</v>
      </c>
      <c r="T28" s="28">
        <f t="shared" si="13"/>
        <v>4366.961937636901</v>
      </c>
      <c r="U28" s="28">
        <f t="shared" si="13"/>
        <v>4640.6771376369006</v>
      </c>
      <c r="V28" s="28">
        <f t="shared" si="13"/>
        <v>4640.6771376369006</v>
      </c>
      <c r="W28" s="28">
        <f t="shared" si="13"/>
        <v>4640.6771376369006</v>
      </c>
      <c r="X28" s="28">
        <f t="shared" si="13"/>
        <v>4640.6771376369006</v>
      </c>
      <c r="Y28" s="28">
        <f t="shared" si="13"/>
        <v>4640.6771376369006</v>
      </c>
    </row>
    <row r="29" spans="2:25" ht="12">
      <c r="B29" s="29"/>
      <c r="C29" s="30" t="s">
        <v>49</v>
      </c>
      <c r="D29" s="30"/>
      <c r="E29" s="28"/>
      <c r="F29" s="28">
        <f>F28/33%*67%*5%</f>
        <v>54.305442760109599</v>
      </c>
      <c r="G29" s="28">
        <f t="shared" ref="G29:Y29" si="14">G28/33%*67%*5%</f>
        <v>82.09168276010962</v>
      </c>
      <c r="H29" s="28">
        <f t="shared" si="14"/>
        <v>109.87792276010964</v>
      </c>
      <c r="I29" s="28">
        <f t="shared" si="14"/>
        <v>137.66416276010966</v>
      </c>
      <c r="J29" s="28">
        <f t="shared" si="14"/>
        <v>165.45040276010963</v>
      </c>
      <c r="K29" s="28">
        <f t="shared" si="14"/>
        <v>193.23664276010965</v>
      </c>
      <c r="L29" s="28">
        <f t="shared" si="14"/>
        <v>221.02288276010964</v>
      </c>
      <c r="M29" s="28">
        <f t="shared" si="14"/>
        <v>248.80912276010963</v>
      </c>
      <c r="N29" s="28">
        <f t="shared" si="14"/>
        <v>276.59536276010965</v>
      </c>
      <c r="O29" s="28">
        <f t="shared" si="14"/>
        <v>304.38160276010967</v>
      </c>
      <c r="P29" s="28">
        <f t="shared" si="14"/>
        <v>332.16784276010964</v>
      </c>
      <c r="Q29" s="28">
        <f t="shared" si="14"/>
        <v>359.95408276010966</v>
      </c>
      <c r="R29" s="28">
        <f t="shared" si="14"/>
        <v>387.74032276010968</v>
      </c>
      <c r="S29" s="28">
        <f t="shared" si="14"/>
        <v>415.5265627601097</v>
      </c>
      <c r="T29" s="28">
        <f t="shared" si="14"/>
        <v>443.31280276010966</v>
      </c>
      <c r="U29" s="28">
        <f t="shared" si="14"/>
        <v>471.09904276010968</v>
      </c>
      <c r="V29" s="28">
        <f t="shared" si="14"/>
        <v>471.09904276010968</v>
      </c>
      <c r="W29" s="28">
        <f t="shared" si="14"/>
        <v>471.09904276010968</v>
      </c>
      <c r="X29" s="28">
        <f t="shared" si="14"/>
        <v>471.09904276010968</v>
      </c>
      <c r="Y29" s="28">
        <f t="shared" si="14"/>
        <v>471.09904276010968</v>
      </c>
    </row>
    <row r="30" spans="2:25" ht="12">
      <c r="B30" s="29"/>
      <c r="C30" s="30" t="s">
        <v>63</v>
      </c>
      <c r="D30" s="30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</row>
    <row r="31" spans="2:25" ht="12">
      <c r="B31" s="29" t="s">
        <v>33</v>
      </c>
      <c r="C31" s="30"/>
      <c r="D31" s="30"/>
      <c r="E31" s="28">
        <f>E14-E21</f>
        <v>-54000</v>
      </c>
      <c r="F31" s="28">
        <f>F14-F21</f>
        <v>131.80341244208103</v>
      </c>
      <c r="G31" s="28">
        <f t="shared" ref="G31:W31" si="15">G14-G21</f>
        <v>659.74197244207608</v>
      </c>
      <c r="H31" s="28">
        <f t="shared" si="15"/>
        <v>1187.6805324420711</v>
      </c>
      <c r="I31" s="28">
        <f t="shared" si="15"/>
        <v>1715.6190924420807</v>
      </c>
      <c r="J31" s="28">
        <f t="shared" si="15"/>
        <v>2243.5576524420758</v>
      </c>
      <c r="K31" s="28">
        <f t="shared" si="15"/>
        <v>2771.4962124420708</v>
      </c>
      <c r="L31" s="28">
        <f t="shared" si="15"/>
        <v>3299.4347724420804</v>
      </c>
      <c r="M31" s="28">
        <f t="shared" si="15"/>
        <v>3827.3733324420755</v>
      </c>
      <c r="N31" s="28">
        <f t="shared" si="15"/>
        <v>4355.3118924420705</v>
      </c>
      <c r="O31" s="28">
        <f t="shared" si="15"/>
        <v>4883.2504524420801</v>
      </c>
      <c r="P31" s="28">
        <f t="shared" si="15"/>
        <v>5411.1890124420752</v>
      </c>
      <c r="Q31" s="28">
        <f t="shared" si="15"/>
        <v>5939.1275724420848</v>
      </c>
      <c r="R31" s="28">
        <f t="shared" si="15"/>
        <v>6467.0661324420798</v>
      </c>
      <c r="S31" s="28">
        <f t="shared" si="15"/>
        <v>6995.0046924420749</v>
      </c>
      <c r="T31" s="28">
        <f t="shared" si="15"/>
        <v>7522.9432524420699</v>
      </c>
      <c r="U31" s="28">
        <f t="shared" si="15"/>
        <v>22450.88181244208</v>
      </c>
      <c r="V31" s="28">
        <f t="shared" si="15"/>
        <v>22450.88181244208</v>
      </c>
      <c r="W31" s="28">
        <f t="shared" si="15"/>
        <v>22450.88181244208</v>
      </c>
      <c r="X31" s="28">
        <f>X14-X21</f>
        <v>22450.88181244208</v>
      </c>
      <c r="Y31" s="28">
        <f>Y14-Y21</f>
        <v>22450.88181244208</v>
      </c>
    </row>
    <row r="32" spans="2:25" ht="12">
      <c r="B32" s="29" t="s">
        <v>34</v>
      </c>
      <c r="C32" s="30"/>
      <c r="D32" s="30"/>
      <c r="E32" s="28">
        <f>E31</f>
        <v>-54000</v>
      </c>
      <c r="F32" s="28">
        <f>E32+F31</f>
        <v>-53868.196587557919</v>
      </c>
      <c r="G32" s="28">
        <f t="shared" ref="G32:P32" si="16">F32+G31</f>
        <v>-53208.454615115843</v>
      </c>
      <c r="H32" s="28">
        <f>G32+H31</f>
        <v>-52020.774082673772</v>
      </c>
      <c r="I32" s="28">
        <f t="shared" si="16"/>
        <v>-50305.154990231691</v>
      </c>
      <c r="J32" s="28">
        <f t="shared" si="16"/>
        <v>-48061.597337789615</v>
      </c>
      <c r="K32" s="28">
        <f t="shared" si="16"/>
        <v>-45290.101125347544</v>
      </c>
      <c r="L32" s="28">
        <f t="shared" si="16"/>
        <v>-41990.666352905464</v>
      </c>
      <c r="M32" s="28">
        <f t="shared" si="16"/>
        <v>-38163.293020463389</v>
      </c>
      <c r="N32" s="28">
        <f t="shared" si="16"/>
        <v>-33807.981128021318</v>
      </c>
      <c r="O32" s="28">
        <f t="shared" si="16"/>
        <v>-28924.730675579238</v>
      </c>
      <c r="P32" s="28">
        <f t="shared" si="16"/>
        <v>-23513.541663137163</v>
      </c>
      <c r="Q32" s="28">
        <f>Q31+P32</f>
        <v>-17574.414090695078</v>
      </c>
      <c r="R32" s="28">
        <f>R31+Q32</f>
        <v>-11107.347958252998</v>
      </c>
      <c r="S32" s="28">
        <f t="shared" ref="S32:Y32" si="17">S31+R32</f>
        <v>-4112.3432658109232</v>
      </c>
      <c r="T32" s="28">
        <f t="shared" si="17"/>
        <v>3410.5999866311467</v>
      </c>
      <c r="U32" s="28">
        <f t="shared" si="17"/>
        <v>25861.481799073226</v>
      </c>
      <c r="V32" s="28">
        <f t="shared" si="17"/>
        <v>48312.363611515306</v>
      </c>
      <c r="W32" s="28">
        <f t="shared" si="17"/>
        <v>70763.245423957385</v>
      </c>
      <c r="X32" s="28">
        <f t="shared" si="17"/>
        <v>93214.127236399465</v>
      </c>
      <c r="Y32" s="28">
        <f t="shared" si="17"/>
        <v>115665.00904884154</v>
      </c>
    </row>
    <row r="33" spans="2:25" ht="12">
      <c r="B33" s="29" t="s">
        <v>35</v>
      </c>
      <c r="C33" s="30"/>
      <c r="D33" s="30"/>
      <c r="E33" s="28">
        <f>E31</f>
        <v>-54000</v>
      </c>
      <c r="F33" s="28">
        <f t="shared" ref="F33:Y33" si="18">F31/(1+$F$35)^F13</f>
        <v>122.04019670563058</v>
      </c>
      <c r="G33" s="28">
        <f t="shared" si="18"/>
        <v>565.6224043570611</v>
      </c>
      <c r="H33" s="28">
        <f t="shared" si="18"/>
        <v>942.8190986845176</v>
      </c>
      <c r="I33" s="28">
        <f t="shared" si="18"/>
        <v>1261.0312489724872</v>
      </c>
      <c r="J33" s="28">
        <f t="shared" si="18"/>
        <v>1526.9276398285697</v>
      </c>
      <c r="K33" s="28">
        <f t="shared" si="18"/>
        <v>1746.5127341025573</v>
      </c>
      <c r="L33" s="28">
        <f t="shared" si="18"/>
        <v>1925.188499513858</v>
      </c>
      <c r="M33" s="28">
        <f t="shared" si="18"/>
        <v>2067.8107208910897</v>
      </c>
      <c r="N33" s="28">
        <f t="shared" si="18"/>
        <v>2178.7402757295058</v>
      </c>
      <c r="O33" s="28">
        <f t="shared" si="18"/>
        <v>2261.8898102577596</v>
      </c>
      <c r="P33" s="28">
        <f t="shared" si="18"/>
        <v>2320.7662160727432</v>
      </c>
      <c r="Q33" s="28">
        <f t="shared" si="18"/>
        <v>2358.5092733705183</v>
      </c>
      <c r="R33" s="28">
        <f t="shared" si="18"/>
        <v>2377.9267956169151</v>
      </c>
      <c r="S33" s="28">
        <f t="shared" si="18"/>
        <v>2381.526581929028</v>
      </c>
      <c r="T33" s="28">
        <f t="shared" si="18"/>
        <v>2371.5454572614758</v>
      </c>
      <c r="U33" s="28">
        <f t="shared" si="18"/>
        <v>6553.1983893906772</v>
      </c>
      <c r="V33" s="28">
        <f t="shared" si="18"/>
        <v>6067.7762864728493</v>
      </c>
      <c r="W33" s="28">
        <f t="shared" si="18"/>
        <v>5618.3113763637484</v>
      </c>
      <c r="X33" s="28">
        <f t="shared" si="18"/>
        <v>5202.1401632997668</v>
      </c>
      <c r="Y33" s="28">
        <f t="shared" si="18"/>
        <v>4816.7964474997843</v>
      </c>
    </row>
    <row r="34" spans="2:25" ht="12">
      <c r="B34" s="29" t="s">
        <v>36</v>
      </c>
      <c r="C34" s="30"/>
      <c r="D34" s="30"/>
      <c r="E34" s="28">
        <f>E33</f>
        <v>-54000</v>
      </c>
      <c r="F34" s="28">
        <f>E34+F33</f>
        <v>-53877.959803294369</v>
      </c>
      <c r="G34" s="28">
        <f>F34+G33</f>
        <v>-53312.337398937307</v>
      </c>
      <c r="H34" s="28">
        <f>G34+H33</f>
        <v>-52369.518300252792</v>
      </c>
      <c r="I34" s="28">
        <f t="shared" ref="I34:P34" si="19">H34+I33</f>
        <v>-51108.487051280303</v>
      </c>
      <c r="J34" s="28">
        <f t="shared" si="19"/>
        <v>-49581.55941145173</v>
      </c>
      <c r="K34" s="28">
        <f t="shared" si="19"/>
        <v>-47835.046677349172</v>
      </c>
      <c r="L34" s="28">
        <f t="shared" si="19"/>
        <v>-45909.858177835311</v>
      </c>
      <c r="M34" s="28">
        <f t="shared" si="19"/>
        <v>-43842.047456944223</v>
      </c>
      <c r="N34" s="28">
        <f t="shared" si="19"/>
        <v>-41663.307181214717</v>
      </c>
      <c r="O34" s="28">
        <f t="shared" si="19"/>
        <v>-39401.417370956959</v>
      </c>
      <c r="P34" s="28">
        <f t="shared" si="19"/>
        <v>-37080.651154884217</v>
      </c>
      <c r="Q34" s="28">
        <f>P34+Q33</f>
        <v>-34722.1418815137</v>
      </c>
      <c r="R34" s="28">
        <f>Q34+R33</f>
        <v>-32344.215085896787</v>
      </c>
      <c r="S34" s="28">
        <f>R34+S33</f>
        <v>-29962.688503967758</v>
      </c>
      <c r="T34" s="28">
        <f t="shared" ref="T34:Y34" si="20">S34+T33</f>
        <v>-27591.143046706282</v>
      </c>
      <c r="U34" s="28">
        <f t="shared" si="20"/>
        <v>-21037.944657315606</v>
      </c>
      <c r="V34" s="28">
        <f t="shared" si="20"/>
        <v>-14970.168370842755</v>
      </c>
      <c r="W34" s="28">
        <f t="shared" si="20"/>
        <v>-9351.856994479007</v>
      </c>
      <c r="X34" s="28">
        <f t="shared" si="20"/>
        <v>-4149.7168311792402</v>
      </c>
      <c r="Y34" s="28">
        <f t="shared" si="20"/>
        <v>667.07961632054412</v>
      </c>
    </row>
    <row r="35" spans="2:25" ht="12">
      <c r="D35" s="23"/>
      <c r="E35" s="2" t="s">
        <v>37</v>
      </c>
      <c r="F35" s="33">
        <v>0.08</v>
      </c>
    </row>
    <row r="36" spans="2:25" ht="14.25" customHeight="1">
      <c r="E36" s="34"/>
      <c r="F36" s="35"/>
    </row>
    <row r="37" spans="2:25" ht="14.25" customHeight="1">
      <c r="E37" s="35"/>
    </row>
    <row r="38" spans="2:25" ht="14.25" customHeight="1"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</row>
  </sheetData>
  <mergeCells count="3">
    <mergeCell ref="A1:Y1"/>
    <mergeCell ref="B13:C13"/>
    <mergeCell ref="B25:D25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新火电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hyj</dc:creator>
  <cp:lastModifiedBy>张艳坤</cp:lastModifiedBy>
  <cp:lastPrinted>2004-03-02T02:17:15Z</cp:lastPrinted>
  <dcterms:created xsi:type="dcterms:W3CDTF">2003-01-27T05:59:00Z</dcterms:created>
  <dcterms:modified xsi:type="dcterms:W3CDTF">2017-01-18T18:58:38Z</dcterms:modified>
</cp:coreProperties>
</file>