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45" windowWidth="20520" windowHeight="3870"/>
  </bookViews>
  <sheets>
    <sheet name="等额本金先付" sheetId="43" r:id="rId1"/>
  </sheets>
  <definedNames>
    <definedName name="_xlnm.Print_Area" localSheetId="0">等额本金先付!$B$1:$G$24</definedName>
  </definedNames>
  <calcPr calcId="145621"/>
</workbook>
</file>

<file path=xl/calcChain.xml><?xml version="1.0" encoding="utf-8"?>
<calcChain xmlns="http://schemas.openxmlformats.org/spreadsheetml/2006/main">
  <c r="J30" i="43" l="1"/>
  <c r="M30" i="43" l="1"/>
  <c r="M27" i="43"/>
  <c r="F27" i="43"/>
  <c r="C30" i="43"/>
  <c r="F30" i="43" s="1"/>
  <c r="C28" i="43"/>
  <c r="F28" i="43" l="1"/>
  <c r="P14" i="43"/>
  <c r="P15" i="43"/>
  <c r="P16" i="43"/>
  <c r="P17" i="43"/>
  <c r="P18" i="43"/>
  <c r="P19" i="43"/>
  <c r="P20" i="43"/>
  <c r="P21" i="43"/>
  <c r="P22" i="43"/>
  <c r="P23" i="43"/>
  <c r="P13" i="43"/>
  <c r="N8" i="43" l="1"/>
  <c r="K7" i="43"/>
  <c r="L12" i="43" s="1"/>
  <c r="G8" i="43"/>
  <c r="D7" i="43"/>
  <c r="E12" i="43" s="1"/>
  <c r="Q15" i="43" l="1"/>
  <c r="Q17" i="43"/>
  <c r="Q19" i="43"/>
  <c r="Q21" i="43"/>
  <c r="Q23" i="43"/>
  <c r="Q14" i="43"/>
  <c r="Q16" i="43"/>
  <c r="Q18" i="43"/>
  <c r="Q20" i="43"/>
  <c r="Q22" i="43"/>
  <c r="Q13" i="43"/>
  <c r="L13" i="43"/>
  <c r="K12" i="43"/>
  <c r="R12" i="43" s="1"/>
  <c r="N12" i="43"/>
  <c r="M13" i="43" s="1"/>
  <c r="E13" i="43"/>
  <c r="N13" i="43" l="1"/>
  <c r="M14" i="43" s="1"/>
  <c r="K13" i="43"/>
  <c r="R13" i="43" s="1"/>
  <c r="L14" i="43"/>
  <c r="D12" i="43"/>
  <c r="L15" i="43" l="1"/>
  <c r="K14" i="43"/>
  <c r="R14" i="43" s="1"/>
  <c r="N14" i="43"/>
  <c r="M15" i="43" s="1"/>
  <c r="J29" i="43" s="1"/>
  <c r="J31" i="43" s="1"/>
  <c r="E14" i="43"/>
  <c r="E15" i="43" s="1"/>
  <c r="E16" i="43" s="1"/>
  <c r="E17" i="43" s="1"/>
  <c r="E18" i="43" s="1"/>
  <c r="E19" i="43" s="1"/>
  <c r="E20" i="43" s="1"/>
  <c r="E21" i="43" s="1"/>
  <c r="E22" i="43" s="1"/>
  <c r="E23" i="43" s="1"/>
  <c r="N15" i="43" l="1"/>
  <c r="M16" i="43" s="1"/>
  <c r="K15" i="43"/>
  <c r="R15" i="43" s="1"/>
  <c r="L16" i="43"/>
  <c r="G12" i="43"/>
  <c r="F13" i="43" s="1"/>
  <c r="N16" i="43" l="1"/>
  <c r="M17" i="43" s="1"/>
  <c r="K16" i="43"/>
  <c r="R16" i="43" s="1"/>
  <c r="L17" i="43"/>
  <c r="D13" i="43"/>
  <c r="G13" i="43"/>
  <c r="F14" i="43" s="1"/>
  <c r="L18" i="43" l="1"/>
  <c r="K17" i="43"/>
  <c r="R17" i="43" s="1"/>
  <c r="N17" i="43"/>
  <c r="M18" i="43" s="1"/>
  <c r="G14" i="43"/>
  <c r="F15" i="43" s="1"/>
  <c r="C29" i="43" s="1"/>
  <c r="D14" i="43"/>
  <c r="C31" i="43" l="1"/>
  <c r="N18" i="43"/>
  <c r="M19" i="43" s="1"/>
  <c r="K29" i="43" s="1"/>
  <c r="K31" i="43" s="1"/>
  <c r="K18" i="43"/>
  <c r="R18" i="43" s="1"/>
  <c r="L19" i="43"/>
  <c r="G15" i="43"/>
  <c r="F16" i="43" s="1"/>
  <c r="D15" i="43"/>
  <c r="K32" i="43" l="1"/>
  <c r="L20" i="43"/>
  <c r="K19" i="43"/>
  <c r="R19" i="43" s="1"/>
  <c r="N19" i="43"/>
  <c r="M20" i="43" s="1"/>
  <c r="G16" i="43"/>
  <c r="F17" i="43" s="1"/>
  <c r="D16" i="43"/>
  <c r="N20" i="43" l="1"/>
  <c r="M21" i="43" s="1"/>
  <c r="K20" i="43"/>
  <c r="R20" i="43" s="1"/>
  <c r="L21" i="43"/>
  <c r="D17" i="43"/>
  <c r="G17" i="43"/>
  <c r="F18" i="43" s="1"/>
  <c r="L22" i="43" l="1"/>
  <c r="K21" i="43"/>
  <c r="R21" i="43" s="1"/>
  <c r="N21" i="43"/>
  <c r="M22" i="43" s="1"/>
  <c r="D18" i="43"/>
  <c r="G18" i="43"/>
  <c r="F19" i="43" s="1"/>
  <c r="D29" i="43" s="1"/>
  <c r="D31" i="43" l="1"/>
  <c r="N22" i="43"/>
  <c r="M23" i="43" s="1"/>
  <c r="L29" i="43" s="1"/>
  <c r="L31" i="43" s="1"/>
  <c r="M31" i="43" s="1"/>
  <c r="K22" i="43"/>
  <c r="R22" i="43" s="1"/>
  <c r="L23" i="43"/>
  <c r="D19" i="43"/>
  <c r="G19" i="43"/>
  <c r="F20" i="43" s="1"/>
  <c r="L32" i="43" l="1"/>
  <c r="M29" i="43"/>
  <c r="M24" i="43"/>
  <c r="N23" i="43"/>
  <c r="K23" i="43"/>
  <c r="R23" i="43" s="1"/>
  <c r="L24" i="43"/>
  <c r="D20" i="43"/>
  <c r="G20" i="43"/>
  <c r="F21" i="43" s="1"/>
  <c r="K24" i="43" l="1"/>
  <c r="R24" i="43"/>
  <c r="J28" i="43" s="1"/>
  <c r="G21" i="43"/>
  <c r="F22" i="43" s="1"/>
  <c r="D21" i="43"/>
  <c r="M28" i="43" l="1"/>
  <c r="M36" i="43" s="1"/>
  <c r="M37" i="43" s="1"/>
  <c r="J32" i="43"/>
  <c r="M32" i="43" s="1"/>
  <c r="M35" i="43" s="1"/>
  <c r="D22" i="43"/>
  <c r="G22" i="43"/>
  <c r="F23" i="43" s="1"/>
  <c r="E29" i="43" s="1"/>
  <c r="E31" i="43" l="1"/>
  <c r="F31" i="43" s="1"/>
  <c r="F33" i="43" s="1"/>
  <c r="F29" i="43"/>
  <c r="D23" i="43"/>
  <c r="G23" i="43"/>
  <c r="E24" i="43" l="1"/>
  <c r="F24" i="43" l="1"/>
  <c r="D24" i="43" l="1"/>
</calcChain>
</file>

<file path=xl/sharedStrings.xml><?xml version="1.0" encoding="utf-8"?>
<sst xmlns="http://schemas.openxmlformats.org/spreadsheetml/2006/main" count="75" uniqueCount="48">
  <si>
    <t>租赁年利率</t>
    <phoneticPr fontId="2" type="noConversion"/>
  </si>
  <si>
    <t>支付方式</t>
    <phoneticPr fontId="2" type="noConversion"/>
  </si>
  <si>
    <t>期次</t>
    <phoneticPr fontId="2" type="noConversion"/>
  </si>
  <si>
    <t xml:space="preserve"> 支付时间</t>
    <phoneticPr fontId="2" type="noConversion"/>
  </si>
  <si>
    <t>每期租金</t>
    <phoneticPr fontId="2" type="noConversion"/>
  </si>
  <si>
    <t xml:space="preserve">        每期租金</t>
    <phoneticPr fontId="2" type="noConversion"/>
  </si>
  <si>
    <t>（年/月/日）</t>
    <phoneticPr fontId="2" type="noConversion"/>
  </si>
  <si>
    <t xml:space="preserve">      本金</t>
    <phoneticPr fontId="2" type="noConversion"/>
  </si>
  <si>
    <t xml:space="preserve">    利息</t>
    <phoneticPr fontId="2" type="noConversion"/>
  </si>
  <si>
    <t>利率上浮比例</t>
    <phoneticPr fontId="2" type="noConversion"/>
  </si>
  <si>
    <t>租赁期数</t>
    <phoneticPr fontId="2" type="noConversion"/>
  </si>
  <si>
    <t>合计</t>
    <phoneticPr fontId="2" type="noConversion"/>
  </si>
  <si>
    <t>剩余本金</t>
    <phoneticPr fontId="2" type="noConversion"/>
  </si>
  <si>
    <t xml:space="preserve">                货币单位：人民币元</t>
    <phoneticPr fontId="2" type="noConversion"/>
  </si>
  <si>
    <t>等额本金先付</t>
    <phoneticPr fontId="2" type="noConversion"/>
  </si>
  <si>
    <t>起租日</t>
    <phoneticPr fontId="2" type="noConversion"/>
  </si>
  <si>
    <t>还款计划表</t>
    <phoneticPr fontId="2" type="noConversion"/>
  </si>
  <si>
    <t>借款人</t>
    <phoneticPr fontId="2" type="noConversion"/>
  </si>
  <si>
    <t>购买设备</t>
    <phoneticPr fontId="2" type="noConversion"/>
  </si>
  <si>
    <t>电动车S350</t>
    <phoneticPr fontId="2" type="noConversion"/>
  </si>
  <si>
    <t>借款金额</t>
    <phoneticPr fontId="2" type="noConversion"/>
  </si>
  <si>
    <t>首付款</t>
    <phoneticPr fontId="2" type="noConversion"/>
  </si>
  <si>
    <t>土肥圆</t>
    <phoneticPr fontId="2" type="noConversion"/>
  </si>
  <si>
    <t>租赁到期日</t>
    <phoneticPr fontId="2" type="noConversion"/>
  </si>
  <si>
    <t>承租人</t>
    <phoneticPr fontId="2" type="noConversion"/>
  </si>
  <si>
    <t>租金支付表</t>
    <phoneticPr fontId="2" type="noConversion"/>
  </si>
  <si>
    <t>租赁设备</t>
    <phoneticPr fontId="2" type="noConversion"/>
  </si>
  <si>
    <t>租赁物价值</t>
    <phoneticPr fontId="2" type="noConversion"/>
  </si>
  <si>
    <t>首付租金</t>
    <phoneticPr fontId="2" type="noConversion"/>
  </si>
  <si>
    <t xml:space="preserve"> </t>
    <phoneticPr fontId="2" type="noConversion"/>
  </si>
  <si>
    <t>等额本金先付</t>
    <phoneticPr fontId="2" type="noConversion"/>
  </si>
  <si>
    <t>月份</t>
    <phoneticPr fontId="2" type="noConversion"/>
  </si>
  <si>
    <t>折现率</t>
    <phoneticPr fontId="2" type="noConversion"/>
  </si>
  <si>
    <t>最低租赁现值</t>
    <phoneticPr fontId="2" type="noConversion"/>
  </si>
  <si>
    <t>销售收入</t>
    <phoneticPr fontId="2" type="noConversion"/>
  </si>
  <si>
    <t>折旧</t>
    <phoneticPr fontId="2" type="noConversion"/>
  </si>
  <si>
    <t>增值税-进项税</t>
    <phoneticPr fontId="2" type="noConversion"/>
  </si>
  <si>
    <t>所得税</t>
    <phoneticPr fontId="2" type="noConversion"/>
  </si>
  <si>
    <t>第1年</t>
    <phoneticPr fontId="2" type="noConversion"/>
  </si>
  <si>
    <t>第2年</t>
    <phoneticPr fontId="2" type="noConversion"/>
  </si>
  <si>
    <t>第3年</t>
    <phoneticPr fontId="2" type="noConversion"/>
  </si>
  <si>
    <t>直接购买</t>
    <phoneticPr fontId="2" type="noConversion"/>
  </si>
  <si>
    <t>利息费用</t>
    <phoneticPr fontId="2" type="noConversion"/>
  </si>
  <si>
    <t>合计</t>
    <phoneticPr fontId="2" type="noConversion"/>
  </si>
  <si>
    <t>利息中进项税</t>
    <phoneticPr fontId="2" type="noConversion"/>
  </si>
  <si>
    <t>增值税-进项税</t>
    <phoneticPr fontId="2" type="noConversion"/>
  </si>
  <si>
    <t>租赁购买</t>
    <phoneticPr fontId="2" type="noConversion"/>
  </si>
  <si>
    <t>本文为租赁从业者撰写并授权租赁视界tjrzzl.com进行发布，若有纰误，请点此指正。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</si>
</sst>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¥&quot;#,##0.00;&quot;¥&quot;\-#,##0.00"/>
    <numFmt numFmtId="8" formatCode="&quot;¥&quot;#,##0.00;[Red]&quot;¥&quot;\-#,##0.00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0.0000%"/>
  </numFmts>
  <fonts count="10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方正粗宋简体"/>
      <family val="4"/>
      <charset val="134"/>
    </font>
    <font>
      <sz val="12"/>
      <name val="宋体"/>
      <family val="3"/>
      <charset val="134"/>
    </font>
    <font>
      <sz val="10"/>
      <color rgb="FFFF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7" fontId="3" fillId="3" borderId="2" xfId="0" applyNumberFormat="1" applyFont="1" applyFill="1" applyBorder="1" applyAlignment="1" applyProtection="1">
      <alignment horizontal="center" vertical="center"/>
    </xf>
    <xf numFmtId="176" fontId="3" fillId="3" borderId="18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8" fontId="3" fillId="3" borderId="1" xfId="0" applyNumberFormat="1" applyFont="1" applyFill="1" applyBorder="1" applyAlignment="1" applyProtection="1">
      <alignment horizontal="center" vertical="center"/>
    </xf>
    <xf numFmtId="7" fontId="3" fillId="3" borderId="1" xfId="0" applyNumberFormat="1" applyFont="1" applyFill="1" applyBorder="1" applyAlignment="1" applyProtection="1">
      <alignment horizontal="center" vertical="center"/>
    </xf>
    <xf numFmtId="8" fontId="3" fillId="3" borderId="18" xfId="0" applyNumberFormat="1" applyFont="1" applyFill="1" applyBorder="1" applyAlignment="1" applyProtection="1">
      <alignment horizontal="center" vertical="center"/>
    </xf>
    <xf numFmtId="8" fontId="4" fillId="3" borderId="23" xfId="0" applyNumberFormat="1" applyFont="1" applyFill="1" applyBorder="1" applyAlignment="1" applyProtection="1">
      <alignment horizontal="center" vertical="center"/>
    </xf>
    <xf numFmtId="8" fontId="3" fillId="3" borderId="23" xfId="0" applyNumberFormat="1" applyFont="1" applyFill="1" applyBorder="1" applyAlignment="1" applyProtection="1">
      <alignment horizontal="center" vertical="center"/>
    </xf>
    <xf numFmtId="8" fontId="3" fillId="3" borderId="24" xfId="0" applyNumberFormat="1" applyFont="1" applyFill="1" applyBorder="1" applyAlignment="1" applyProtection="1">
      <alignment horizontal="center" vertical="center"/>
    </xf>
    <xf numFmtId="8" fontId="4" fillId="2" borderId="23" xfId="0" applyNumberFormat="1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</xf>
    <xf numFmtId="0" fontId="0" fillId="0" borderId="0" xfId="0" applyFill="1" applyProtection="1">
      <alignment vertical="center"/>
    </xf>
    <xf numFmtId="0" fontId="3" fillId="3" borderId="18" xfId="0" applyNumberFormat="1" applyFont="1" applyFill="1" applyBorder="1" applyAlignment="1" applyProtection="1">
      <alignment horizontal="center" vertical="center" wrapText="1"/>
    </xf>
    <xf numFmtId="10" fontId="3" fillId="3" borderId="18" xfId="0" applyNumberFormat="1" applyFont="1" applyFill="1" applyBorder="1" applyAlignment="1" applyProtection="1">
      <alignment horizontal="center" vertical="center"/>
    </xf>
    <xf numFmtId="14" fontId="3" fillId="3" borderId="1" xfId="0" applyNumberFormat="1" applyFont="1" applyFill="1" applyBorder="1" applyAlignment="1" applyProtection="1">
      <alignment horizontal="center" vertical="center"/>
    </xf>
    <xf numFmtId="14" fontId="3" fillId="3" borderId="18" xfId="0" applyNumberFormat="1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</xf>
    <xf numFmtId="14" fontId="3" fillId="3" borderId="6" xfId="0" applyNumberFormat="1" applyFont="1" applyFill="1" applyBorder="1" applyAlignment="1" applyProtection="1">
      <alignment horizontal="left" vertical="center"/>
    </xf>
    <xf numFmtId="8" fontId="0" fillId="0" borderId="0" xfId="0" applyNumberFormat="1" applyFill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Protection="1">
      <alignment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horizontal="left" vertical="center"/>
    </xf>
    <xf numFmtId="43" fontId="0" fillId="0" borderId="0" xfId="0" applyNumberFormat="1" applyFill="1" applyAlignment="1" applyProtection="1">
      <alignment horizontal="center" vertical="center"/>
    </xf>
    <xf numFmtId="43" fontId="0" fillId="0" borderId="0" xfId="0" applyNumberFormat="1" applyFill="1" applyProtection="1">
      <alignment vertical="center"/>
    </xf>
    <xf numFmtId="43" fontId="3" fillId="0" borderId="0" xfId="0" applyNumberFormat="1" applyFont="1" applyFill="1" applyAlignment="1" applyProtection="1">
      <alignment horizontal="center" vertical="center"/>
    </xf>
    <xf numFmtId="43" fontId="3" fillId="0" borderId="0" xfId="0" applyNumberFormat="1" applyFont="1" applyFill="1" applyProtection="1">
      <alignment vertical="center"/>
    </xf>
    <xf numFmtId="14" fontId="3" fillId="3" borderId="4" xfId="0" applyNumberFormat="1" applyFont="1" applyFill="1" applyBorder="1" applyAlignment="1" applyProtection="1">
      <alignment horizontal="left" vertical="center"/>
    </xf>
    <xf numFmtId="0" fontId="3" fillId="0" borderId="25" xfId="0" applyFont="1" applyFill="1" applyBorder="1" applyProtection="1">
      <alignment vertical="center"/>
    </xf>
    <xf numFmtId="0" fontId="3" fillId="0" borderId="26" xfId="0" applyFont="1" applyFill="1" applyBorder="1" applyProtection="1">
      <alignment vertical="center"/>
    </xf>
    <xf numFmtId="0" fontId="3" fillId="0" borderId="27" xfId="0" applyFont="1" applyFill="1" applyBorder="1" applyProtection="1">
      <alignment vertical="center"/>
    </xf>
    <xf numFmtId="0" fontId="3" fillId="0" borderId="30" xfId="0" applyFont="1" applyFill="1" applyBorder="1" applyProtection="1">
      <alignment vertical="center"/>
    </xf>
    <xf numFmtId="0" fontId="3" fillId="0" borderId="0" xfId="0" applyFont="1" applyFill="1" applyBorder="1" applyProtection="1">
      <alignment vertical="center"/>
    </xf>
    <xf numFmtId="8" fontId="3" fillId="0" borderId="31" xfId="0" applyNumberFormat="1" applyFont="1" applyFill="1" applyBorder="1" applyProtection="1">
      <alignment vertical="center"/>
    </xf>
    <xf numFmtId="10" fontId="3" fillId="0" borderId="0" xfId="0" applyNumberFormat="1" applyFont="1" applyFill="1" applyBorder="1" applyProtection="1">
      <alignment vertical="center"/>
    </xf>
    <xf numFmtId="0" fontId="3" fillId="0" borderId="29" xfId="0" applyFont="1" applyFill="1" applyBorder="1" applyProtection="1">
      <alignment vertical="center"/>
    </xf>
    <xf numFmtId="0" fontId="3" fillId="0" borderId="7" xfId="0" applyFont="1" applyFill="1" applyBorder="1" applyProtection="1">
      <alignment vertical="center"/>
    </xf>
    <xf numFmtId="8" fontId="3" fillId="0" borderId="28" xfId="0" applyNumberFormat="1" applyFont="1" applyFill="1" applyBorder="1" applyProtection="1">
      <alignment vertical="center"/>
    </xf>
    <xf numFmtId="0" fontId="3" fillId="3" borderId="32" xfId="0" applyFont="1" applyFill="1" applyBorder="1" applyAlignment="1" applyProtection="1">
      <alignment horizontal="center" vertical="center"/>
    </xf>
    <xf numFmtId="0" fontId="3" fillId="3" borderId="33" xfId="0" applyFont="1" applyFill="1" applyBorder="1" applyAlignment="1" applyProtection="1">
      <alignment horizontal="center" vertical="center"/>
    </xf>
    <xf numFmtId="0" fontId="3" fillId="3" borderId="34" xfId="0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left" vertical="center"/>
    </xf>
    <xf numFmtId="43" fontId="3" fillId="3" borderId="1" xfId="5" applyFont="1" applyFill="1" applyBorder="1" applyAlignment="1" applyProtection="1">
      <alignment horizontal="left" vertical="center"/>
    </xf>
    <xf numFmtId="43" fontId="3" fillId="3" borderId="1" xfId="5" applyFont="1" applyFill="1" applyBorder="1" applyAlignment="1" applyProtection="1">
      <alignment horizontal="center" vertical="center"/>
    </xf>
    <xf numFmtId="43" fontId="3" fillId="3" borderId="18" xfId="5" applyFont="1" applyFill="1" applyBorder="1" applyAlignment="1" applyProtection="1">
      <alignment horizontal="center" vertical="center"/>
    </xf>
    <xf numFmtId="43" fontId="9" fillId="3" borderId="1" xfId="5" applyFont="1" applyFill="1" applyBorder="1" applyAlignment="1" applyProtection="1">
      <alignment horizontal="left" vertical="center"/>
    </xf>
    <xf numFmtId="43" fontId="9" fillId="3" borderId="18" xfId="5" applyFont="1" applyFill="1" applyBorder="1" applyAlignment="1" applyProtection="1">
      <alignment horizontal="center" vertical="center"/>
    </xf>
    <xf numFmtId="0" fontId="3" fillId="3" borderId="35" xfId="0" applyFont="1" applyFill="1" applyBorder="1" applyAlignment="1" applyProtection="1">
      <alignment horizontal="left" vertical="center"/>
    </xf>
    <xf numFmtId="43" fontId="3" fillId="3" borderId="23" xfId="5" applyFont="1" applyFill="1" applyBorder="1" applyAlignment="1" applyProtection="1">
      <alignment horizontal="left" vertical="center"/>
    </xf>
    <xf numFmtId="43" fontId="3" fillId="3" borderId="24" xfId="5" applyFont="1" applyFill="1" applyBorder="1" applyAlignment="1" applyProtection="1">
      <alignment horizontal="center" vertical="center"/>
    </xf>
    <xf numFmtId="43" fontId="9" fillId="3" borderId="18" xfId="5" applyFont="1" applyFill="1" applyBorder="1" applyAlignment="1" applyProtection="1">
      <alignment horizontal="left" vertical="center"/>
    </xf>
    <xf numFmtId="9" fontId="3" fillId="3" borderId="1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 wrapText="1"/>
    </xf>
    <xf numFmtId="0" fontId="3" fillId="3" borderId="21" xfId="0" applyFont="1" applyFill="1" applyBorder="1" applyAlignment="1" applyProtection="1">
      <alignment horizontal="center" vertical="center"/>
    </xf>
    <xf numFmtId="0" fontId="3" fillId="3" borderId="22" xfId="0" applyFont="1" applyFill="1" applyBorder="1" applyAlignment="1" applyProtection="1">
      <alignment horizontal="center" vertical="center"/>
    </xf>
    <xf numFmtId="0" fontId="7" fillId="3" borderId="25" xfId="0" applyFont="1" applyFill="1" applyBorder="1" applyAlignment="1" applyProtection="1">
      <alignment horizontal="center" vertical="center"/>
    </xf>
    <xf numFmtId="0" fontId="7" fillId="3" borderId="26" xfId="0" applyFont="1" applyFill="1" applyBorder="1" applyAlignment="1" applyProtection="1">
      <alignment horizontal="center" vertical="center"/>
    </xf>
    <xf numFmtId="0" fontId="7" fillId="3" borderId="27" xfId="0" applyFont="1" applyFill="1" applyBorder="1" applyAlignment="1" applyProtection="1">
      <alignment horizontal="center" vertical="center"/>
    </xf>
    <xf numFmtId="0" fontId="3" fillId="3" borderId="13" xfId="0" applyFont="1" applyFill="1" applyBorder="1" applyAlignment="1" applyProtection="1">
      <alignment horizontal="center" vertical="center"/>
    </xf>
    <xf numFmtId="0" fontId="1" fillId="3" borderId="14" xfId="0" applyFont="1" applyFill="1" applyBorder="1" applyAlignment="1" applyProtection="1">
      <alignment horizontal="center" vertical="center"/>
    </xf>
    <xf numFmtId="0" fontId="4" fillId="3" borderId="15" xfId="0" applyFont="1" applyFill="1" applyBorder="1" applyAlignment="1" applyProtection="1">
      <alignment horizontal="center" vertical="center"/>
    </xf>
    <xf numFmtId="0" fontId="5" fillId="3" borderId="16" xfId="0" applyFont="1" applyFill="1" applyBorder="1" applyProtection="1">
      <alignment vertical="center"/>
    </xf>
    <xf numFmtId="0" fontId="5" fillId="3" borderId="17" xfId="0" applyFont="1" applyFill="1" applyBorder="1" applyProtection="1">
      <alignment vertical="center"/>
    </xf>
    <xf numFmtId="0" fontId="3" fillId="3" borderId="3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</xf>
    <xf numFmtId="0" fontId="1" fillId="3" borderId="4" xfId="0" applyFont="1" applyFill="1" applyBorder="1" applyProtection="1">
      <alignment vertical="center"/>
    </xf>
    <xf numFmtId="0" fontId="1" fillId="3" borderId="8" xfId="0" applyFont="1" applyFill="1" applyBorder="1" applyProtection="1">
      <alignment vertical="center"/>
    </xf>
    <xf numFmtId="44" fontId="3" fillId="3" borderId="2" xfId="0" applyNumberFormat="1" applyFont="1" applyFill="1" applyBorder="1" applyAlignment="1" applyProtection="1">
      <alignment horizontal="center" vertical="center"/>
    </xf>
    <xf numFmtId="0" fontId="1" fillId="3" borderId="6" xfId="0" applyFont="1" applyFill="1" applyBorder="1" applyProtection="1">
      <alignment vertical="center"/>
    </xf>
    <xf numFmtId="0" fontId="3" fillId="3" borderId="9" xfId="0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/>
    </xf>
    <xf numFmtId="0" fontId="3" fillId="3" borderId="11" xfId="0" applyFont="1" applyFill="1" applyBorder="1" applyAlignment="1" applyProtection="1">
      <alignment horizontal="center" vertical="center"/>
    </xf>
    <xf numFmtId="0" fontId="3" fillId="3" borderId="12" xfId="0" applyFont="1" applyFill="1" applyBorder="1" applyAlignment="1" applyProtection="1">
      <alignment horizontal="center" vertical="center"/>
    </xf>
    <xf numFmtId="0" fontId="3" fillId="3" borderId="6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center" vertical="center"/>
    </xf>
    <xf numFmtId="0" fontId="3" fillId="3" borderId="29" xfId="0" applyFont="1" applyFill="1" applyBorder="1" applyAlignment="1" applyProtection="1">
      <alignment horizontal="right" vertical="center"/>
    </xf>
    <xf numFmtId="0" fontId="3" fillId="3" borderId="7" xfId="0" applyFont="1" applyFill="1" applyBorder="1" applyAlignment="1" applyProtection="1">
      <alignment horizontal="right" vertical="center"/>
    </xf>
    <xf numFmtId="0" fontId="3" fillId="3" borderId="28" xfId="0" applyFont="1" applyFill="1" applyBorder="1" applyAlignment="1" applyProtection="1">
      <alignment horizontal="right" vertical="center"/>
    </xf>
  </cellXfs>
  <cellStyles count="6">
    <cellStyle name="百分比 2" xfId="4"/>
    <cellStyle name="常规" xfId="0" builtinId="0"/>
    <cellStyle name="常规 2" xfId="2"/>
    <cellStyle name="常规 6" xfId="1"/>
    <cellStyle name="千位分隔" xfId="5" builtinId="3"/>
    <cellStyle name="千位分隔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  <color rgb="FFCCFFFF"/>
      <color rgb="FF99CCFF"/>
      <color rgb="FF66CC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R37"/>
  <sheetViews>
    <sheetView showGridLines="0" tabSelected="1" zoomScaleNormal="100" zoomScaleSheetLayoutView="100" workbookViewId="0">
      <selection activeCell="B1" sqref="B1:N1"/>
    </sheetView>
  </sheetViews>
  <sheetFormatPr defaultRowHeight="14.25"/>
  <cols>
    <col min="1" max="1" width="1.25" style="12" customWidth="1"/>
    <col min="2" max="2" width="12.375" style="22" bestFit="1" customWidth="1"/>
    <col min="3" max="3" width="12.25" style="23" bestFit="1" customWidth="1"/>
    <col min="4" max="4" width="15" style="22" bestFit="1" customWidth="1"/>
    <col min="5" max="5" width="13.125" style="22" bestFit="1" customWidth="1"/>
    <col min="6" max="6" width="14.125" style="22" bestFit="1" customWidth="1"/>
    <col min="7" max="7" width="11.25" style="22" bestFit="1" customWidth="1"/>
    <col min="8" max="8" width="1.375" style="12" customWidth="1"/>
    <col min="9" max="9" width="12.375" style="12" bestFit="1" customWidth="1"/>
    <col min="10" max="10" width="12.25" style="12" bestFit="1" customWidth="1"/>
    <col min="11" max="11" width="15" style="12" bestFit="1" customWidth="1"/>
    <col min="12" max="12" width="13.125" style="12" bestFit="1" customWidth="1"/>
    <col min="13" max="13" width="14.125" style="12" bestFit="1" customWidth="1"/>
    <col min="14" max="14" width="11.25" style="12" bestFit="1" customWidth="1"/>
    <col min="15" max="15" width="11.375" style="12" customWidth="1"/>
    <col min="16" max="16" width="5.625" style="12" customWidth="1"/>
    <col min="17" max="17" width="9" style="12"/>
    <col min="18" max="18" width="12.75" style="12" bestFit="1" customWidth="1"/>
    <col min="19" max="16384" width="9" style="12"/>
  </cols>
  <sheetData>
    <row r="1" spans="2:18" ht="15" thickBot="1">
      <c r="B1" s="53" t="s">
        <v>47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2:18">
      <c r="B2" s="56" t="s">
        <v>16</v>
      </c>
      <c r="C2" s="57"/>
      <c r="D2" s="57"/>
      <c r="E2" s="57"/>
      <c r="F2" s="57"/>
      <c r="G2" s="58"/>
      <c r="I2" s="56" t="s">
        <v>25</v>
      </c>
      <c r="J2" s="57"/>
      <c r="K2" s="57"/>
      <c r="L2" s="57"/>
      <c r="M2" s="57"/>
      <c r="N2" s="58"/>
    </row>
    <row r="3" spans="2:18" ht="15" thickBot="1">
      <c r="B3" s="78" t="s">
        <v>13</v>
      </c>
      <c r="C3" s="79"/>
      <c r="D3" s="79"/>
      <c r="E3" s="79"/>
      <c r="F3" s="79"/>
      <c r="G3" s="80"/>
      <c r="I3" s="78" t="s">
        <v>13</v>
      </c>
      <c r="J3" s="79"/>
      <c r="K3" s="79"/>
      <c r="L3" s="79"/>
      <c r="M3" s="79"/>
      <c r="N3" s="80"/>
    </row>
    <row r="4" spans="2:18">
      <c r="B4" s="59" t="s">
        <v>17</v>
      </c>
      <c r="C4" s="60"/>
      <c r="D4" s="61" t="s">
        <v>22</v>
      </c>
      <c r="E4" s="62"/>
      <c r="F4" s="62"/>
      <c r="G4" s="63"/>
      <c r="I4" s="59" t="s">
        <v>24</v>
      </c>
      <c r="J4" s="60"/>
      <c r="K4" s="61" t="s">
        <v>22</v>
      </c>
      <c r="L4" s="62"/>
      <c r="M4" s="62"/>
      <c r="N4" s="63"/>
    </row>
    <row r="5" spans="2:18">
      <c r="B5" s="64" t="s">
        <v>18</v>
      </c>
      <c r="C5" s="65"/>
      <c r="D5" s="66" t="s">
        <v>19</v>
      </c>
      <c r="E5" s="67"/>
      <c r="F5" s="67"/>
      <c r="G5" s="68"/>
      <c r="I5" s="64" t="s">
        <v>26</v>
      </c>
      <c r="J5" s="65"/>
      <c r="K5" s="66" t="s">
        <v>19</v>
      </c>
      <c r="L5" s="67"/>
      <c r="M5" s="67"/>
      <c r="N5" s="68"/>
    </row>
    <row r="6" spans="2:18">
      <c r="B6" s="64" t="s">
        <v>20</v>
      </c>
      <c r="C6" s="65"/>
      <c r="D6" s="1">
        <v>1000000</v>
      </c>
      <c r="E6" s="69" t="s">
        <v>10</v>
      </c>
      <c r="F6" s="70"/>
      <c r="G6" s="13">
        <v>12</v>
      </c>
      <c r="I6" s="64" t="s">
        <v>27</v>
      </c>
      <c r="J6" s="65"/>
      <c r="K6" s="1">
        <v>1000000</v>
      </c>
      <c r="L6" s="69" t="s">
        <v>10</v>
      </c>
      <c r="M6" s="70"/>
      <c r="N6" s="13">
        <v>12</v>
      </c>
    </row>
    <row r="7" spans="2:18">
      <c r="B7" s="11" t="s">
        <v>21</v>
      </c>
      <c r="C7" s="52">
        <v>0</v>
      </c>
      <c r="D7" s="1">
        <f>D6*C7</f>
        <v>0</v>
      </c>
      <c r="E7" s="69" t="s">
        <v>9</v>
      </c>
      <c r="F7" s="70"/>
      <c r="G7" s="14">
        <v>0.1</v>
      </c>
      <c r="I7" s="11" t="s">
        <v>28</v>
      </c>
      <c r="J7" s="52">
        <v>0</v>
      </c>
      <c r="K7" s="1">
        <f>K6*J7</f>
        <v>0</v>
      </c>
      <c r="L7" s="69" t="s">
        <v>9</v>
      </c>
      <c r="M7" s="70"/>
      <c r="N7" s="14">
        <v>0.2</v>
      </c>
    </row>
    <row r="8" spans="2:18">
      <c r="B8" s="64" t="s">
        <v>1</v>
      </c>
      <c r="C8" s="75"/>
      <c r="D8" s="1" t="s">
        <v>14</v>
      </c>
      <c r="E8" s="69" t="s">
        <v>0</v>
      </c>
      <c r="F8" s="70"/>
      <c r="G8" s="2">
        <f>5.6%*(1+G7)</f>
        <v>6.1600000000000002E-2</v>
      </c>
      <c r="I8" s="64" t="s">
        <v>1</v>
      </c>
      <c r="J8" s="75"/>
      <c r="K8" s="1" t="s">
        <v>30</v>
      </c>
      <c r="L8" s="69" t="s">
        <v>0</v>
      </c>
      <c r="M8" s="70"/>
      <c r="N8" s="2">
        <f>5.6%*(1+N7)</f>
        <v>6.7199999999999996E-2</v>
      </c>
    </row>
    <row r="9" spans="2:18">
      <c r="B9" s="64" t="s">
        <v>15</v>
      </c>
      <c r="C9" s="75"/>
      <c r="D9" s="15">
        <v>41353</v>
      </c>
      <c r="E9" s="69" t="s">
        <v>23</v>
      </c>
      <c r="F9" s="70"/>
      <c r="G9" s="16" t="s">
        <v>29</v>
      </c>
      <c r="I9" s="64" t="s">
        <v>15</v>
      </c>
      <c r="J9" s="75"/>
      <c r="K9" s="15">
        <v>41353</v>
      </c>
      <c r="L9" s="69" t="s">
        <v>23</v>
      </c>
      <c r="M9" s="70"/>
      <c r="N9" s="16" t="s">
        <v>29</v>
      </c>
    </row>
    <row r="10" spans="2:18" ht="15" thickBot="1">
      <c r="B10" s="71" t="s">
        <v>2</v>
      </c>
      <c r="C10" s="3" t="s">
        <v>3</v>
      </c>
      <c r="D10" s="73" t="s">
        <v>4</v>
      </c>
      <c r="E10" s="66" t="s">
        <v>5</v>
      </c>
      <c r="F10" s="75"/>
      <c r="G10" s="76" t="s">
        <v>12</v>
      </c>
      <c r="I10" s="71" t="s">
        <v>2</v>
      </c>
      <c r="J10" s="3" t="s">
        <v>3</v>
      </c>
      <c r="K10" s="73" t="s">
        <v>4</v>
      </c>
      <c r="L10" s="66" t="s">
        <v>5</v>
      </c>
      <c r="M10" s="75"/>
      <c r="N10" s="76" t="s">
        <v>12</v>
      </c>
    </row>
    <row r="11" spans="2:18">
      <c r="B11" s="72"/>
      <c r="C11" s="3" t="s">
        <v>6</v>
      </c>
      <c r="D11" s="74"/>
      <c r="E11" s="3" t="s">
        <v>7</v>
      </c>
      <c r="F11" s="3" t="s">
        <v>8</v>
      </c>
      <c r="G11" s="77"/>
      <c r="I11" s="72"/>
      <c r="J11" s="3" t="s">
        <v>6</v>
      </c>
      <c r="K11" s="74"/>
      <c r="L11" s="3" t="s">
        <v>7</v>
      </c>
      <c r="M11" s="3" t="s">
        <v>8</v>
      </c>
      <c r="N11" s="77"/>
      <c r="P11" s="29" t="s">
        <v>31</v>
      </c>
      <c r="Q11" s="30" t="s">
        <v>32</v>
      </c>
      <c r="R11" s="31" t="s">
        <v>33</v>
      </c>
    </row>
    <row r="12" spans="2:18">
      <c r="B12" s="17">
        <v>1</v>
      </c>
      <c r="C12" s="18">
        <v>41353</v>
      </c>
      <c r="D12" s="4">
        <f>E12+F12</f>
        <v>83333.333333333328</v>
      </c>
      <c r="E12" s="5">
        <f>($D$6-D7)/G6</f>
        <v>83333.333333333328</v>
      </c>
      <c r="F12" s="5">
        <v>0</v>
      </c>
      <c r="G12" s="6">
        <f>D6-D7-E12</f>
        <v>916666.66666666663</v>
      </c>
      <c r="I12" s="17">
        <v>1</v>
      </c>
      <c r="J12" s="18">
        <v>41353</v>
      </c>
      <c r="K12" s="4">
        <f>L12+M12</f>
        <v>83333.333333333328</v>
      </c>
      <c r="L12" s="5">
        <f>($D$6-K7)/N6</f>
        <v>83333.333333333328</v>
      </c>
      <c r="M12" s="5">
        <v>0</v>
      </c>
      <c r="N12" s="6">
        <f>K6-K7-L12</f>
        <v>916666.66666666663</v>
      </c>
      <c r="O12" s="28">
        <v>41353</v>
      </c>
      <c r="P12" s="32">
        <v>0</v>
      </c>
      <c r="Q12" s="33">
        <v>1</v>
      </c>
      <c r="R12" s="34">
        <f>K12/1.17/(1+Q12)^P12</f>
        <v>71225.071225071224</v>
      </c>
    </row>
    <row r="13" spans="2:18">
      <c r="B13" s="17">
        <v>2</v>
      </c>
      <c r="C13" s="18">
        <v>41445</v>
      </c>
      <c r="D13" s="4">
        <f t="shared" ref="D13:D23" si="0">E13+F13</f>
        <v>97450</v>
      </c>
      <c r="E13" s="5">
        <f>E12</f>
        <v>83333.333333333328</v>
      </c>
      <c r="F13" s="5">
        <f t="shared" ref="F13:F23" si="1">G12*$G$8/4</f>
        <v>14116.666666666666</v>
      </c>
      <c r="G13" s="6">
        <f>G12-E13</f>
        <v>833333.33333333326</v>
      </c>
      <c r="I13" s="17">
        <v>2</v>
      </c>
      <c r="J13" s="18">
        <v>41445</v>
      </c>
      <c r="K13" s="4">
        <f t="shared" ref="K13:K23" si="2">L13+M13</f>
        <v>98733.333333333328</v>
      </c>
      <c r="L13" s="5">
        <f>L12</f>
        <v>83333.333333333328</v>
      </c>
      <c r="M13" s="5">
        <f>N12*$N$8/4</f>
        <v>15399.999999999998</v>
      </c>
      <c r="N13" s="6">
        <f>N12-L13</f>
        <v>833333.33333333326</v>
      </c>
      <c r="O13" s="28">
        <v>41353</v>
      </c>
      <c r="P13" s="32">
        <f>DATEDIF(O13,J13,"m")</f>
        <v>3</v>
      </c>
      <c r="Q13" s="35">
        <f>$N$8/12</f>
        <v>5.5999999999999999E-3</v>
      </c>
      <c r="R13" s="34">
        <f t="shared" ref="R13:R23" si="3">K13/1.17/(1+Q13)^P13</f>
        <v>82985.486368339567</v>
      </c>
    </row>
    <row r="14" spans="2:18">
      <c r="B14" s="17">
        <v>3</v>
      </c>
      <c r="C14" s="18">
        <v>41537</v>
      </c>
      <c r="D14" s="4">
        <f t="shared" si="0"/>
        <v>96166.666666666657</v>
      </c>
      <c r="E14" s="5">
        <f t="shared" ref="E14:E23" si="4">E13</f>
        <v>83333.333333333328</v>
      </c>
      <c r="F14" s="5">
        <f t="shared" si="1"/>
        <v>12833.333333333332</v>
      </c>
      <c r="G14" s="6">
        <f t="shared" ref="G14:G23" si="5">G13-E14</f>
        <v>749999.99999999988</v>
      </c>
      <c r="I14" s="17">
        <v>3</v>
      </c>
      <c r="J14" s="18">
        <v>41537</v>
      </c>
      <c r="K14" s="4">
        <f t="shared" si="2"/>
        <v>97333.333333333328</v>
      </c>
      <c r="L14" s="5">
        <f t="shared" ref="L14:L23" si="6">L13</f>
        <v>83333.333333333328</v>
      </c>
      <c r="M14" s="5">
        <f t="shared" ref="M14:M23" si="7">N13*$N$8/4</f>
        <v>13999.999999999998</v>
      </c>
      <c r="N14" s="6">
        <f t="shared" ref="N14:N23" si="8">N13-L14</f>
        <v>749999.99999999988</v>
      </c>
      <c r="O14" s="28">
        <v>41353</v>
      </c>
      <c r="P14" s="32">
        <f t="shared" ref="P14:P23" si="9">DATEDIF(O14,J14,"m")</f>
        <v>6</v>
      </c>
      <c r="Q14" s="35">
        <f t="shared" ref="Q14:Q23" si="10">$N$8/12</f>
        <v>5.5999999999999999E-3</v>
      </c>
      <c r="R14" s="34">
        <f t="shared" si="3"/>
        <v>80449.647757582963</v>
      </c>
    </row>
    <row r="15" spans="2:18">
      <c r="B15" s="17">
        <v>4</v>
      </c>
      <c r="C15" s="18">
        <v>41628</v>
      </c>
      <c r="D15" s="4">
        <f t="shared" si="0"/>
        <v>94883.333333333328</v>
      </c>
      <c r="E15" s="5">
        <f t="shared" si="4"/>
        <v>83333.333333333328</v>
      </c>
      <c r="F15" s="5">
        <f t="shared" si="1"/>
        <v>11549.999999999998</v>
      </c>
      <c r="G15" s="6">
        <f t="shared" si="5"/>
        <v>666666.66666666651</v>
      </c>
      <c r="I15" s="17">
        <v>4</v>
      </c>
      <c r="J15" s="18">
        <v>41628</v>
      </c>
      <c r="K15" s="4">
        <f t="shared" si="2"/>
        <v>95933.333333333328</v>
      </c>
      <c r="L15" s="5">
        <f t="shared" si="6"/>
        <v>83333.333333333328</v>
      </c>
      <c r="M15" s="5">
        <f t="shared" si="7"/>
        <v>12599.999999999996</v>
      </c>
      <c r="N15" s="6">
        <f t="shared" si="8"/>
        <v>666666.66666666651</v>
      </c>
      <c r="O15" s="28">
        <v>41353</v>
      </c>
      <c r="P15" s="32">
        <f t="shared" si="9"/>
        <v>9</v>
      </c>
      <c r="Q15" s="35">
        <f t="shared" si="10"/>
        <v>5.5999999999999999E-3</v>
      </c>
      <c r="R15" s="34">
        <f t="shared" si="3"/>
        <v>77975.162955172957</v>
      </c>
    </row>
    <row r="16" spans="2:18">
      <c r="B16" s="17">
        <v>5</v>
      </c>
      <c r="C16" s="18">
        <v>41718</v>
      </c>
      <c r="D16" s="4">
        <f t="shared" si="0"/>
        <v>93600</v>
      </c>
      <c r="E16" s="5">
        <f t="shared" si="4"/>
        <v>83333.333333333328</v>
      </c>
      <c r="F16" s="5">
        <f t="shared" si="1"/>
        <v>10266.666666666664</v>
      </c>
      <c r="G16" s="6">
        <f t="shared" si="5"/>
        <v>583333.33333333314</v>
      </c>
      <c r="I16" s="17">
        <v>5</v>
      </c>
      <c r="J16" s="18">
        <v>41718</v>
      </c>
      <c r="K16" s="4">
        <f t="shared" si="2"/>
        <v>94533.333333333328</v>
      </c>
      <c r="L16" s="5">
        <f t="shared" si="6"/>
        <v>83333.333333333328</v>
      </c>
      <c r="M16" s="5">
        <f t="shared" si="7"/>
        <v>11199.999999999996</v>
      </c>
      <c r="N16" s="6">
        <f t="shared" si="8"/>
        <v>583333.33333333314</v>
      </c>
      <c r="O16" s="28">
        <v>41353</v>
      </c>
      <c r="P16" s="32">
        <f t="shared" si="9"/>
        <v>12</v>
      </c>
      <c r="Q16" s="35">
        <f t="shared" si="10"/>
        <v>5.5999999999999999E-3</v>
      </c>
      <c r="R16" s="34">
        <f t="shared" si="3"/>
        <v>75560.693267697745</v>
      </c>
    </row>
    <row r="17" spans="2:18">
      <c r="B17" s="17">
        <v>6</v>
      </c>
      <c r="C17" s="18">
        <v>41810</v>
      </c>
      <c r="D17" s="4">
        <f t="shared" si="0"/>
        <v>92316.666666666657</v>
      </c>
      <c r="E17" s="5">
        <f t="shared" si="4"/>
        <v>83333.333333333328</v>
      </c>
      <c r="F17" s="5">
        <f t="shared" si="1"/>
        <v>8983.3333333333303</v>
      </c>
      <c r="G17" s="6">
        <f t="shared" si="5"/>
        <v>499999.99999999983</v>
      </c>
      <c r="I17" s="17">
        <v>6</v>
      </c>
      <c r="J17" s="18">
        <v>41810</v>
      </c>
      <c r="K17" s="4">
        <f t="shared" si="2"/>
        <v>93133.333333333328</v>
      </c>
      <c r="L17" s="5">
        <f t="shared" si="6"/>
        <v>83333.333333333328</v>
      </c>
      <c r="M17" s="5">
        <f t="shared" si="7"/>
        <v>9799.9999999999964</v>
      </c>
      <c r="N17" s="6">
        <f t="shared" si="8"/>
        <v>499999.99999999983</v>
      </c>
      <c r="O17" s="28">
        <v>41353</v>
      </c>
      <c r="P17" s="32">
        <f t="shared" si="9"/>
        <v>15</v>
      </c>
      <c r="Q17" s="35">
        <f t="shared" si="10"/>
        <v>5.5999999999999999E-3</v>
      </c>
      <c r="R17" s="34">
        <f t="shared" si="3"/>
        <v>73204.927548398191</v>
      </c>
    </row>
    <row r="18" spans="2:18">
      <c r="B18" s="17">
        <v>7</v>
      </c>
      <c r="C18" s="18">
        <v>41902</v>
      </c>
      <c r="D18" s="4">
        <f t="shared" si="0"/>
        <v>91033.333333333328</v>
      </c>
      <c r="E18" s="5">
        <f t="shared" si="4"/>
        <v>83333.333333333328</v>
      </c>
      <c r="F18" s="5">
        <f t="shared" si="1"/>
        <v>7699.9999999999973</v>
      </c>
      <c r="G18" s="6">
        <f t="shared" si="5"/>
        <v>416666.66666666651</v>
      </c>
      <c r="I18" s="17">
        <v>7</v>
      </c>
      <c r="J18" s="18">
        <v>41902</v>
      </c>
      <c r="K18" s="4">
        <f t="shared" si="2"/>
        <v>91733.333333333328</v>
      </c>
      <c r="L18" s="5">
        <f t="shared" si="6"/>
        <v>83333.333333333328</v>
      </c>
      <c r="M18" s="5">
        <f t="shared" si="7"/>
        <v>8399.9999999999964</v>
      </c>
      <c r="N18" s="6">
        <f t="shared" si="8"/>
        <v>416666.66666666651</v>
      </c>
      <c r="O18" s="28">
        <v>41353</v>
      </c>
      <c r="P18" s="32">
        <f t="shared" si="9"/>
        <v>18</v>
      </c>
      <c r="Q18" s="35">
        <f t="shared" si="10"/>
        <v>5.5999999999999999E-3</v>
      </c>
      <c r="R18" s="34">
        <f t="shared" si="3"/>
        <v>70906.581651364948</v>
      </c>
    </row>
    <row r="19" spans="2:18">
      <c r="B19" s="17">
        <v>8</v>
      </c>
      <c r="C19" s="18">
        <v>41993</v>
      </c>
      <c r="D19" s="4">
        <f t="shared" si="0"/>
        <v>89750</v>
      </c>
      <c r="E19" s="5">
        <f t="shared" si="4"/>
        <v>83333.333333333328</v>
      </c>
      <c r="F19" s="5">
        <f t="shared" si="1"/>
        <v>6416.6666666666642</v>
      </c>
      <c r="G19" s="6">
        <f t="shared" si="5"/>
        <v>333333.3333333332</v>
      </c>
      <c r="I19" s="17">
        <v>8</v>
      </c>
      <c r="J19" s="18">
        <v>41993</v>
      </c>
      <c r="K19" s="4">
        <f t="shared" si="2"/>
        <v>90333.333333333328</v>
      </c>
      <c r="L19" s="5">
        <f t="shared" si="6"/>
        <v>83333.333333333328</v>
      </c>
      <c r="M19" s="5">
        <f t="shared" si="7"/>
        <v>6999.9999999999973</v>
      </c>
      <c r="N19" s="6">
        <f t="shared" si="8"/>
        <v>333333.3333333332</v>
      </c>
      <c r="O19" s="28">
        <v>41353</v>
      </c>
      <c r="P19" s="32">
        <f t="shared" si="9"/>
        <v>21</v>
      </c>
      <c r="Q19" s="35">
        <f t="shared" si="10"/>
        <v>5.5999999999999999E-3</v>
      </c>
      <c r="R19" s="34">
        <f t="shared" si="3"/>
        <v>68664.397896267867</v>
      </c>
    </row>
    <row r="20" spans="2:18">
      <c r="B20" s="17">
        <v>9</v>
      </c>
      <c r="C20" s="18">
        <v>42083</v>
      </c>
      <c r="D20" s="4">
        <f t="shared" si="0"/>
        <v>88466.666666666657</v>
      </c>
      <c r="E20" s="5">
        <f t="shared" si="4"/>
        <v>83333.333333333328</v>
      </c>
      <c r="F20" s="5">
        <f t="shared" si="1"/>
        <v>5133.3333333333312</v>
      </c>
      <c r="G20" s="6">
        <f t="shared" si="5"/>
        <v>249999.99999999988</v>
      </c>
      <c r="I20" s="17">
        <v>9</v>
      </c>
      <c r="J20" s="18">
        <v>42083</v>
      </c>
      <c r="K20" s="4">
        <f t="shared" si="2"/>
        <v>88933.333333333328</v>
      </c>
      <c r="L20" s="5">
        <f t="shared" si="6"/>
        <v>83333.333333333328</v>
      </c>
      <c r="M20" s="5">
        <f t="shared" si="7"/>
        <v>5599.9999999999973</v>
      </c>
      <c r="N20" s="6">
        <f t="shared" si="8"/>
        <v>249999.99999999988</v>
      </c>
      <c r="O20" s="28">
        <v>41353</v>
      </c>
      <c r="P20" s="32">
        <f t="shared" si="9"/>
        <v>24</v>
      </c>
      <c r="Q20" s="35">
        <f t="shared" si="10"/>
        <v>5.5999999999999999E-3</v>
      </c>
      <c r="R20" s="34">
        <f t="shared" si="3"/>
        <v>66477.144543418413</v>
      </c>
    </row>
    <row r="21" spans="2:18">
      <c r="B21" s="17">
        <v>10</v>
      </c>
      <c r="C21" s="18">
        <v>42175</v>
      </c>
      <c r="D21" s="4">
        <f t="shared" si="0"/>
        <v>87183.333333333328</v>
      </c>
      <c r="E21" s="5">
        <f t="shared" si="4"/>
        <v>83333.333333333328</v>
      </c>
      <c r="F21" s="5">
        <f t="shared" si="1"/>
        <v>3849.9999999999982</v>
      </c>
      <c r="G21" s="6">
        <f t="shared" si="5"/>
        <v>166666.66666666657</v>
      </c>
      <c r="I21" s="17">
        <v>10</v>
      </c>
      <c r="J21" s="18">
        <v>42175</v>
      </c>
      <c r="K21" s="4">
        <f t="shared" si="2"/>
        <v>87533.333333333328</v>
      </c>
      <c r="L21" s="5">
        <f t="shared" si="6"/>
        <v>83333.333333333328</v>
      </c>
      <c r="M21" s="5">
        <f t="shared" si="7"/>
        <v>4199.9999999999982</v>
      </c>
      <c r="N21" s="6">
        <f t="shared" si="8"/>
        <v>166666.66666666657</v>
      </c>
      <c r="O21" s="28">
        <v>41353</v>
      </c>
      <c r="P21" s="32">
        <f t="shared" si="9"/>
        <v>27</v>
      </c>
      <c r="Q21" s="35">
        <f t="shared" si="10"/>
        <v>5.5999999999999999E-3</v>
      </c>
      <c r="R21" s="34">
        <f t="shared" si="3"/>
        <v>64343.615278969424</v>
      </c>
    </row>
    <row r="22" spans="2:18">
      <c r="B22" s="17">
        <v>11</v>
      </c>
      <c r="C22" s="18">
        <v>42267</v>
      </c>
      <c r="D22" s="4">
        <f t="shared" si="0"/>
        <v>85900</v>
      </c>
      <c r="E22" s="5">
        <f t="shared" si="4"/>
        <v>83333.333333333328</v>
      </c>
      <c r="F22" s="5">
        <f t="shared" si="1"/>
        <v>2566.6666666666652</v>
      </c>
      <c r="G22" s="6">
        <f t="shared" si="5"/>
        <v>83333.333333333241</v>
      </c>
      <c r="I22" s="17">
        <v>11</v>
      </c>
      <c r="J22" s="18">
        <v>42267</v>
      </c>
      <c r="K22" s="4">
        <f t="shared" si="2"/>
        <v>86133.333333333328</v>
      </c>
      <c r="L22" s="5">
        <f t="shared" si="6"/>
        <v>83333.333333333328</v>
      </c>
      <c r="M22" s="5">
        <f t="shared" si="7"/>
        <v>2799.9999999999982</v>
      </c>
      <c r="N22" s="6">
        <f t="shared" si="8"/>
        <v>83333.333333333241</v>
      </c>
      <c r="O22" s="28">
        <v>41353</v>
      </c>
      <c r="P22" s="32">
        <f t="shared" si="9"/>
        <v>30</v>
      </c>
      <c r="Q22" s="35">
        <f t="shared" si="10"/>
        <v>5.5999999999999999E-3</v>
      </c>
      <c r="R22" s="34">
        <f t="shared" si="3"/>
        <v>62262.628710060402</v>
      </c>
    </row>
    <row r="23" spans="2:18">
      <c r="B23" s="17">
        <v>12</v>
      </c>
      <c r="C23" s="18">
        <v>42358</v>
      </c>
      <c r="D23" s="4">
        <f t="shared" si="0"/>
        <v>84616.666666666657</v>
      </c>
      <c r="E23" s="5">
        <f t="shared" si="4"/>
        <v>83333.333333333328</v>
      </c>
      <c r="F23" s="5">
        <f t="shared" si="1"/>
        <v>1283.3333333333319</v>
      </c>
      <c r="G23" s="6">
        <f t="shared" si="5"/>
        <v>0</v>
      </c>
      <c r="I23" s="17">
        <v>12</v>
      </c>
      <c r="J23" s="18">
        <v>42358</v>
      </c>
      <c r="K23" s="4">
        <f t="shared" si="2"/>
        <v>84733.333333333328</v>
      </c>
      <c r="L23" s="5">
        <f t="shared" si="6"/>
        <v>83333.333333333328</v>
      </c>
      <c r="M23" s="5">
        <f t="shared" si="7"/>
        <v>1399.9999999999984</v>
      </c>
      <c r="N23" s="6">
        <f t="shared" si="8"/>
        <v>0</v>
      </c>
      <c r="O23" s="28">
        <v>41353</v>
      </c>
      <c r="P23" s="32">
        <f t="shared" si="9"/>
        <v>33</v>
      </c>
      <c r="Q23" s="35">
        <f t="shared" si="10"/>
        <v>5.5999999999999999E-3</v>
      </c>
      <c r="R23" s="34">
        <f t="shared" si="3"/>
        <v>60233.027869719765</v>
      </c>
    </row>
    <row r="24" spans="2:18" ht="15" thickBot="1">
      <c r="B24" s="54" t="s">
        <v>11</v>
      </c>
      <c r="C24" s="55"/>
      <c r="D24" s="7">
        <f>SUM(D12:D23)</f>
        <v>1084700</v>
      </c>
      <c r="E24" s="8">
        <f>SUM(E12:E23)</f>
        <v>1000000.0000000001</v>
      </c>
      <c r="F24" s="10">
        <f>SUM(F12:F23)</f>
        <v>84699.999999999985</v>
      </c>
      <c r="G24" s="9"/>
      <c r="I24" s="54" t="s">
        <v>11</v>
      </c>
      <c r="J24" s="55"/>
      <c r="K24" s="7">
        <f>SUM(K12:K23)</f>
        <v>1092400.0000000002</v>
      </c>
      <c r="L24" s="8">
        <f>SUM(L12:L23)</f>
        <v>1000000.0000000001</v>
      </c>
      <c r="M24" s="10">
        <f>SUM(M12:M23)</f>
        <v>92399.999999999985</v>
      </c>
      <c r="N24" s="9"/>
      <c r="P24" s="36"/>
      <c r="Q24" s="37"/>
      <c r="R24" s="38">
        <f>SUM(R12:R23)</f>
        <v>854288.38507206342</v>
      </c>
    </row>
    <row r="25" spans="2:18" ht="15" thickBot="1"/>
    <row r="26" spans="2:18">
      <c r="B26" s="39" t="s">
        <v>41</v>
      </c>
      <c r="C26" s="40" t="s">
        <v>38</v>
      </c>
      <c r="D26" s="40" t="s">
        <v>39</v>
      </c>
      <c r="E26" s="40" t="s">
        <v>40</v>
      </c>
      <c r="F26" s="41" t="s">
        <v>43</v>
      </c>
      <c r="G26" s="20"/>
      <c r="H26" s="21"/>
      <c r="I26" s="39" t="s">
        <v>46</v>
      </c>
      <c r="J26" s="40" t="s">
        <v>38</v>
      </c>
      <c r="K26" s="40" t="s">
        <v>39</v>
      </c>
      <c r="L26" s="40" t="s">
        <v>40</v>
      </c>
      <c r="M26" s="41" t="s">
        <v>43</v>
      </c>
    </row>
    <row r="27" spans="2:18">
      <c r="B27" s="42" t="s">
        <v>34</v>
      </c>
      <c r="C27" s="43">
        <v>500000</v>
      </c>
      <c r="D27" s="44">
        <v>400000</v>
      </c>
      <c r="E27" s="44">
        <v>400000</v>
      </c>
      <c r="F27" s="45">
        <f>SUM(C27:E27)</f>
        <v>1300000</v>
      </c>
      <c r="G27" s="20"/>
      <c r="H27" s="21"/>
      <c r="I27" s="42" t="s">
        <v>34</v>
      </c>
      <c r="J27" s="43">
        <v>500000</v>
      </c>
      <c r="K27" s="44">
        <v>400000</v>
      </c>
      <c r="L27" s="44">
        <v>400000</v>
      </c>
      <c r="M27" s="45">
        <f>SUM(J27:L27)</f>
        <v>1300000</v>
      </c>
      <c r="R27" s="19"/>
    </row>
    <row r="28" spans="2:18">
      <c r="B28" s="42" t="s">
        <v>35</v>
      </c>
      <c r="C28" s="43">
        <f>D6/1.17/3</f>
        <v>284900.2849002849</v>
      </c>
      <c r="D28" s="43">
        <v>284900.2849002849</v>
      </c>
      <c r="E28" s="43">
        <v>284900.2849002849</v>
      </c>
      <c r="F28" s="45">
        <f t="shared" ref="F28:F31" si="11">SUM(C28:E28)</f>
        <v>854700.85470085475</v>
      </c>
      <c r="G28" s="20"/>
      <c r="H28" s="21"/>
      <c r="I28" s="42" t="s">
        <v>35</v>
      </c>
      <c r="J28" s="43">
        <f>R24/3</f>
        <v>284762.79502402112</v>
      </c>
      <c r="K28" s="43">
        <v>284762.79502402112</v>
      </c>
      <c r="L28" s="43">
        <v>284762.79502402112</v>
      </c>
      <c r="M28" s="45">
        <f t="shared" ref="M28:M31" si="12">SUM(J28:L28)</f>
        <v>854288.38507206342</v>
      </c>
    </row>
    <row r="29" spans="2:18">
      <c r="B29" s="42" t="s">
        <v>42</v>
      </c>
      <c r="C29" s="43">
        <f>F13+F14+F15</f>
        <v>38500</v>
      </c>
      <c r="D29" s="43">
        <f>F16+F17+F18+F19</f>
        <v>33366.666666666657</v>
      </c>
      <c r="E29" s="43">
        <f>F20+F21+F22+F23</f>
        <v>12833.333333333325</v>
      </c>
      <c r="F29" s="45">
        <f t="shared" si="11"/>
        <v>84699.999999999985</v>
      </c>
      <c r="G29" s="20"/>
      <c r="H29" s="21"/>
      <c r="I29" s="42" t="s">
        <v>42</v>
      </c>
      <c r="J29" s="43">
        <f>(M13+M14+M15)/1.17</f>
        <v>35897.435897435891</v>
      </c>
      <c r="K29" s="43">
        <f>(M16+M17+M18+M19)/1.17</f>
        <v>31111.111111111102</v>
      </c>
      <c r="L29" s="43">
        <f>(M20+M21+M22+M23)/1.17</f>
        <v>11965.811965811959</v>
      </c>
      <c r="M29" s="45">
        <f t="shared" si="12"/>
        <v>78974.358974358955</v>
      </c>
    </row>
    <row r="30" spans="2:18">
      <c r="B30" s="42" t="s">
        <v>36</v>
      </c>
      <c r="C30" s="46">
        <f>D6/1.17*0.17</f>
        <v>145299.14529914531</v>
      </c>
      <c r="D30" s="44"/>
      <c r="E30" s="44"/>
      <c r="F30" s="47">
        <f t="shared" si="11"/>
        <v>145299.14529914531</v>
      </c>
      <c r="G30" s="20"/>
      <c r="H30" s="21"/>
      <c r="I30" s="42" t="s">
        <v>45</v>
      </c>
      <c r="J30" s="46">
        <f>K6/1.17*0.17</f>
        <v>145299.14529914531</v>
      </c>
      <c r="K30" s="44"/>
      <c r="L30" s="44"/>
      <c r="M30" s="47">
        <f t="shared" si="12"/>
        <v>145299.14529914531</v>
      </c>
    </row>
    <row r="31" spans="2:18" ht="15" thickBot="1">
      <c r="B31" s="48" t="s">
        <v>37</v>
      </c>
      <c r="C31" s="49">
        <f>(C27-C28-C29)*0.25</f>
        <v>44149.928774928776</v>
      </c>
      <c r="D31" s="49">
        <f t="shared" ref="D31:E31" si="13">(D27-D28-D29)*0.25</f>
        <v>20433.262108262112</v>
      </c>
      <c r="E31" s="49">
        <f t="shared" si="13"/>
        <v>25566.595441595444</v>
      </c>
      <c r="F31" s="50">
        <f t="shared" si="11"/>
        <v>90149.786324786328</v>
      </c>
      <c r="G31" s="20"/>
      <c r="H31" s="21"/>
      <c r="I31" s="42" t="s">
        <v>44</v>
      </c>
      <c r="J31" s="46">
        <f>J29*0.17</f>
        <v>6102.5641025641016</v>
      </c>
      <c r="K31" s="46">
        <f t="shared" ref="K31:L31" si="14">K29*0.17</f>
        <v>5288.8888888888878</v>
      </c>
      <c r="L31" s="46">
        <f t="shared" si="14"/>
        <v>2034.1880341880333</v>
      </c>
      <c r="M31" s="51">
        <f t="shared" si="12"/>
        <v>13425.641025641022</v>
      </c>
    </row>
    <row r="32" spans="2:18" ht="15" thickBot="1">
      <c r="I32" s="48" t="s">
        <v>37</v>
      </c>
      <c r="J32" s="49">
        <f>(J27-J28-J29)*0.25</f>
        <v>44834.942269635751</v>
      </c>
      <c r="K32" s="49">
        <f>(K27-K28-K29)*0.25</f>
        <v>21031.523466216946</v>
      </c>
      <c r="L32" s="49">
        <f>(L27-L28-L29)*0.25</f>
        <v>25817.848252541731</v>
      </c>
      <c r="M32" s="50">
        <f>SUM(J32:L32)</f>
        <v>91684.313988394424</v>
      </c>
    </row>
    <row r="33" spans="6:14">
      <c r="F33" s="26">
        <f>F30-F31</f>
        <v>55149.358974358984</v>
      </c>
      <c r="M33" s="25"/>
      <c r="N33" s="25"/>
    </row>
    <row r="35" spans="6:14">
      <c r="F35" s="24"/>
      <c r="M35" s="27">
        <f>M30+M31-M32</f>
        <v>67040.472336391918</v>
      </c>
    </row>
    <row r="36" spans="6:14">
      <c r="K36" s="19"/>
      <c r="M36" s="27">
        <f>M27-M28-M29</f>
        <v>366737.25595357764</v>
      </c>
    </row>
    <row r="37" spans="6:14">
      <c r="M37" s="27">
        <f>M36*0.25</f>
        <v>91684.31398839441</v>
      </c>
    </row>
  </sheetData>
  <sheetProtection formatCells="0" formatColumns="0" formatRows="0" insertColumns="0" insertRows="0" insertHyperlinks="0" deleteColumns="0" deleteRows="0" sort="0" autoFilter="0" pivotTables="0"/>
  <mergeCells count="37">
    <mergeCell ref="E6:F6"/>
    <mergeCell ref="E7:F7"/>
    <mergeCell ref="E8:F8"/>
    <mergeCell ref="N10:N11"/>
    <mergeCell ref="I24:J24"/>
    <mergeCell ref="I9:J9"/>
    <mergeCell ref="L9:M9"/>
    <mergeCell ref="I10:I11"/>
    <mergeCell ref="K10:K11"/>
    <mergeCell ref="L10:M10"/>
    <mergeCell ref="I6:J6"/>
    <mergeCell ref="L6:M6"/>
    <mergeCell ref="L7:M7"/>
    <mergeCell ref="I8:J8"/>
    <mergeCell ref="L8:M8"/>
    <mergeCell ref="I2:N2"/>
    <mergeCell ref="I3:N3"/>
    <mergeCell ref="I4:J4"/>
    <mergeCell ref="K4:N4"/>
    <mergeCell ref="I5:J5"/>
    <mergeCell ref="K5:N5"/>
    <mergeCell ref="B1:N1"/>
    <mergeCell ref="B24:C24"/>
    <mergeCell ref="B2:G2"/>
    <mergeCell ref="B4:C4"/>
    <mergeCell ref="D4:G4"/>
    <mergeCell ref="B5:C5"/>
    <mergeCell ref="D5:G5"/>
    <mergeCell ref="E9:F9"/>
    <mergeCell ref="B10:B11"/>
    <mergeCell ref="D10:D11"/>
    <mergeCell ref="E10:F10"/>
    <mergeCell ref="G10:G11"/>
    <mergeCell ref="B3:G3"/>
    <mergeCell ref="B9:C9"/>
    <mergeCell ref="B8:C8"/>
    <mergeCell ref="B6:C6"/>
  </mergeCells>
  <phoneticPr fontId="2" type="noConversion"/>
  <pageMargins left="0.55118110236220474" right="0.55118110236220474" top="0.59055118110236227" bottom="0.59055118110236227" header="0.51181102362204722" footer="0.51181102362204722"/>
  <pageSetup paperSize="9" scale="80" orientation="portrait" horizontalDpi="300" verticalDpi="300" r:id="rId1"/>
  <headerFooter alignWithMargins="0">
    <oddHeader>&amp;L&amp;G</oddHeader>
    <oddFooter>第 &amp;P 页，共 &amp;N 页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等额本金先付</vt:lpstr>
      <vt:lpstr>等额本金先付!Print_Area</vt:lpstr>
    </vt:vector>
  </TitlesOfParts>
  <Company>MC SYSTEM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张艳坤</dc:creator>
  <cp:keywords>支付表</cp:keywords>
  <cp:lastModifiedBy>张艳坤</cp:lastModifiedBy>
  <cp:lastPrinted>2013-04-24T06:07:56Z</cp:lastPrinted>
  <dcterms:created xsi:type="dcterms:W3CDTF">2007-06-06T06:41:54Z</dcterms:created>
  <dcterms:modified xsi:type="dcterms:W3CDTF">2015-01-20T07:47:53Z</dcterms:modified>
</cp:coreProperties>
</file>