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我的坚果云\行业研究\教育行业分析\"/>
    </mc:Choice>
  </mc:AlternateContent>
  <bookViews>
    <workbookView xWindow="480" yWindow="120" windowWidth="8505" windowHeight="4530" tabRatio="733" activeTab="4"/>
  </bookViews>
  <sheets>
    <sheet name="租金测算" sheetId="16" r:id="rId1"/>
    <sheet name="调查报告" sheetId="1" r:id="rId2"/>
    <sheet name="前期项目" sheetId="15" r:id="rId3"/>
    <sheet name="行政－收支明细表" sheetId="9" r:id="rId4"/>
    <sheet name="行政－资产负债表 " sheetId="8" r:id="rId5"/>
    <sheet name="二期租金测算" sheetId="21" r:id="rId6"/>
    <sheet name="一期租金测算" sheetId="20" r:id="rId7"/>
    <sheet name="基建－资金表" sheetId="11" r:id="rId8"/>
  </sheets>
  <definedNames>
    <definedName name="_xlnm.Print_Area" localSheetId="4">'行政－资产负债表 '!$A$1:$B$24</definedName>
  </definedNames>
  <calcPr calcId="162913"/>
</workbook>
</file>

<file path=xl/calcChain.xml><?xml version="1.0" encoding="utf-8"?>
<calcChain xmlns="http://schemas.openxmlformats.org/spreadsheetml/2006/main">
  <c r="H4" i="21" l="1"/>
  <c r="D315" i="1" l="1"/>
  <c r="E2" i="16"/>
  <c r="H18" i="16" l="1"/>
  <c r="F4" i="9" l="1"/>
  <c r="F5" i="9"/>
  <c r="F8" i="9"/>
  <c r="F3" i="9"/>
  <c r="F11" i="9"/>
  <c r="F12" i="9"/>
  <c r="F14" i="9"/>
  <c r="F10" i="9"/>
  <c r="F15" i="9"/>
  <c r="F16" i="9"/>
  <c r="F18" i="9"/>
  <c r="F19" i="9"/>
  <c r="G19" i="9" s="1"/>
  <c r="F20" i="9"/>
  <c r="F21" i="9"/>
  <c r="F22" i="9"/>
  <c r="F23" i="9"/>
  <c r="G23" i="9" s="1"/>
  <c r="F25" i="9"/>
  <c r="F26" i="9"/>
  <c r="F27" i="9"/>
  <c r="F28" i="9"/>
  <c r="G28" i="9" s="1"/>
  <c r="F29" i="9"/>
  <c r="F34" i="9"/>
  <c r="F35" i="9"/>
  <c r="F36" i="9"/>
  <c r="G36" i="9" s="1"/>
  <c r="F39" i="9"/>
  <c r="F40" i="9"/>
  <c r="F41" i="9"/>
  <c r="F42" i="9"/>
  <c r="G42" i="9" s="1"/>
  <c r="F44" i="9"/>
  <c r="F45" i="9"/>
  <c r="F47" i="9"/>
  <c r="F48" i="9"/>
  <c r="F61" i="9"/>
  <c r="F63" i="9" s="1"/>
  <c r="F69" i="9" s="1"/>
  <c r="D316" i="1"/>
  <c r="D8" i="9"/>
  <c r="L249" i="1"/>
  <c r="L251" i="1"/>
  <c r="L253" i="1"/>
  <c r="L243" i="1"/>
  <c r="L245" i="1"/>
  <c r="L247" i="1"/>
  <c r="L233" i="1"/>
  <c r="L235" i="1"/>
  <c r="L237" i="1"/>
  <c r="L239" i="1"/>
  <c r="L241" i="1"/>
  <c r="L229" i="1"/>
  <c r="L231" i="1"/>
  <c r="L213" i="1"/>
  <c r="L215" i="1"/>
  <c r="L217" i="1"/>
  <c r="L219" i="1"/>
  <c r="L221" i="1"/>
  <c r="L223" i="1"/>
  <c r="L225" i="1"/>
  <c r="L227" i="1"/>
  <c r="L207" i="1"/>
  <c r="L209" i="1"/>
  <c r="L211" i="1"/>
  <c r="L198" i="1"/>
  <c r="L200" i="1"/>
  <c r="L202" i="1"/>
  <c r="L204" i="1"/>
  <c r="L196" i="1"/>
  <c r="J320" i="1"/>
  <c r="I320" i="1"/>
  <c r="H320" i="1"/>
  <c r="G320" i="1"/>
  <c r="F320" i="1"/>
  <c r="E320" i="1"/>
  <c r="E333" i="1"/>
  <c r="D320" i="1"/>
  <c r="F335" i="1"/>
  <c r="G8" i="16"/>
  <c r="F9" i="16"/>
  <c r="C3" i="16"/>
  <c r="F10" i="16"/>
  <c r="C2" i="16"/>
  <c r="C4" i="16"/>
  <c r="E335" i="1"/>
  <c r="G335" i="1"/>
  <c r="F11" i="16"/>
  <c r="F12" i="16"/>
  <c r="H335" i="1"/>
  <c r="F13" i="16"/>
  <c r="F14" i="16"/>
  <c r="I335" i="1"/>
  <c r="F15" i="16"/>
  <c r="F16" i="16"/>
  <c r="F17" i="16"/>
  <c r="F18" i="16"/>
  <c r="D321" i="1"/>
  <c r="H254" i="1"/>
  <c r="G254" i="1"/>
  <c r="F254" i="1"/>
  <c r="C254" i="1"/>
  <c r="G192" i="1"/>
  <c r="B55" i="9"/>
  <c r="D179" i="1"/>
  <c r="F160" i="1"/>
  <c r="E160" i="1"/>
  <c r="I150" i="1"/>
  <c r="C166" i="1" s="1"/>
  <c r="G150" i="1"/>
  <c r="F150" i="1"/>
  <c r="E150" i="1"/>
  <c r="B4" i="9"/>
  <c r="D108" i="1" s="1"/>
  <c r="B5" i="9"/>
  <c r="D109" i="1" s="1"/>
  <c r="B8" i="9"/>
  <c r="J88" i="1"/>
  <c r="E13" i="1"/>
  <c r="F109" i="1"/>
  <c r="D5" i="9"/>
  <c r="E109" i="1" s="1"/>
  <c r="D11" i="9"/>
  <c r="D12" i="9"/>
  <c r="D13" i="9"/>
  <c r="D14" i="9"/>
  <c r="D15" i="9"/>
  <c r="B11" i="9"/>
  <c r="B12" i="9"/>
  <c r="B14" i="9"/>
  <c r="B15" i="9"/>
  <c r="H35" i="11"/>
  <c r="H34" i="11"/>
  <c r="H33" i="11"/>
  <c r="H31" i="11" s="1"/>
  <c r="H36" i="11" s="1"/>
  <c r="H32" i="11"/>
  <c r="H30" i="11"/>
  <c r="H22" i="11"/>
  <c r="H18" i="11"/>
  <c r="H17" i="11"/>
  <c r="H10" i="11"/>
  <c r="H8" i="11"/>
  <c r="G35" i="11"/>
  <c r="G34" i="11"/>
  <c r="G33" i="11"/>
  <c r="G32" i="11"/>
  <c r="G30" i="11"/>
  <c r="G29" i="11" s="1"/>
  <c r="G27" i="11"/>
  <c r="G18" i="11"/>
  <c r="G17" i="11"/>
  <c r="G16" i="11"/>
  <c r="G14" i="11"/>
  <c r="G13" i="11"/>
  <c r="G10" i="11"/>
  <c r="G8" i="11"/>
  <c r="G7" i="11" s="1"/>
  <c r="G3" i="11" s="1"/>
  <c r="F35" i="11"/>
  <c r="F34" i="11"/>
  <c r="F33" i="11"/>
  <c r="F32" i="11"/>
  <c r="F31" i="11" s="1"/>
  <c r="F30" i="11"/>
  <c r="F27" i="11"/>
  <c r="F24" i="11"/>
  <c r="F18" i="11"/>
  <c r="F17" i="11"/>
  <c r="F16" i="11"/>
  <c r="F14" i="11"/>
  <c r="F13" i="11"/>
  <c r="F12" i="11" s="1"/>
  <c r="F10" i="11"/>
  <c r="F8" i="11"/>
  <c r="F4" i="11"/>
  <c r="H30" i="8"/>
  <c r="H29" i="8"/>
  <c r="H28" i="8"/>
  <c r="H24" i="8"/>
  <c r="H21" i="8"/>
  <c r="H20" i="8" s="1"/>
  <c r="H19" i="8"/>
  <c r="H14" i="8"/>
  <c r="H16" i="8"/>
  <c r="G93" i="1"/>
  <c r="H13" i="8"/>
  <c r="H8" i="8"/>
  <c r="H6" i="8"/>
  <c r="H5" i="8"/>
  <c r="F37" i="8"/>
  <c r="F33" i="8"/>
  <c r="F26" i="8"/>
  <c r="F24" i="8"/>
  <c r="F21" i="8"/>
  <c r="F19" i="8"/>
  <c r="F14" i="8"/>
  <c r="F93" i="1"/>
  <c r="F13" i="8"/>
  <c r="F6" i="8"/>
  <c r="D340" i="1"/>
  <c r="E339" i="1"/>
  <c r="F5" i="8"/>
  <c r="F4" i="8"/>
  <c r="D37" i="8"/>
  <c r="D33" i="8"/>
  <c r="D34" i="8" s="1"/>
  <c r="D32" i="8" s="1"/>
  <c r="D26" i="8"/>
  <c r="D24" i="8"/>
  <c r="D100" i="1"/>
  <c r="D21" i="8"/>
  <c r="D19" i="8"/>
  <c r="D14" i="8"/>
  <c r="D13" i="8"/>
  <c r="D6" i="8"/>
  <c r="D5" i="8"/>
  <c r="D4" i="8"/>
  <c r="B37" i="8"/>
  <c r="B33" i="8"/>
  <c r="B34" i="8" s="1"/>
  <c r="B26" i="8"/>
  <c r="B24" i="8"/>
  <c r="C100" i="1"/>
  <c r="B21" i="8"/>
  <c r="B14" i="8"/>
  <c r="D93" i="1" s="1"/>
  <c r="B13" i="8"/>
  <c r="B6" i="8"/>
  <c r="B5" i="8"/>
  <c r="B4" i="8"/>
  <c r="D47" i="9"/>
  <c r="D46" i="9"/>
  <c r="D45" i="9"/>
  <c r="D44" i="9"/>
  <c r="D42" i="9"/>
  <c r="D41" i="9"/>
  <c r="D40" i="9"/>
  <c r="D39" i="9"/>
  <c r="D37" i="9"/>
  <c r="D36" i="9"/>
  <c r="D35" i="9"/>
  <c r="D34" i="9"/>
  <c r="D29" i="9"/>
  <c r="D28" i="9"/>
  <c r="D27" i="9"/>
  <c r="D26" i="9"/>
  <c r="D25" i="9"/>
  <c r="D23" i="9"/>
  <c r="D22" i="9"/>
  <c r="D21" i="9"/>
  <c r="D20" i="9"/>
  <c r="D19" i="9"/>
  <c r="D18" i="9"/>
  <c r="D16" i="9"/>
  <c r="D4" i="9"/>
  <c r="E108" i="1"/>
  <c r="B50" i="9"/>
  <c r="B43" i="9"/>
  <c r="B42" i="9"/>
  <c r="B41" i="9"/>
  <c r="B40" i="9"/>
  <c r="B39" i="9"/>
  <c r="B37" i="9"/>
  <c r="B36" i="9"/>
  <c r="B35" i="9"/>
  <c r="B31" i="9"/>
  <c r="B29" i="9"/>
  <c r="B28" i="9"/>
  <c r="B27" i="9"/>
  <c r="B26" i="9"/>
  <c r="B25" i="9"/>
  <c r="B23" i="9"/>
  <c r="B22" i="9"/>
  <c r="B21" i="9"/>
  <c r="B20" i="9"/>
  <c r="B19" i="9"/>
  <c r="B18" i="9"/>
  <c r="B16" i="9"/>
  <c r="F110" i="1"/>
  <c r="F108" i="1"/>
  <c r="E93" i="1"/>
  <c r="E21" i="21"/>
  <c r="E20" i="21"/>
  <c r="E19" i="21"/>
  <c r="E18" i="21"/>
  <c r="E16" i="21"/>
  <c r="E14" i="21"/>
  <c r="E13" i="21"/>
  <c r="K213" i="1"/>
  <c r="J213" i="1"/>
  <c r="I213" i="1"/>
  <c r="K211" i="1"/>
  <c r="J211" i="1"/>
  <c r="I211" i="1"/>
  <c r="K205" i="1"/>
  <c r="J205" i="1"/>
  <c r="I205" i="1"/>
  <c r="C11" i="15"/>
  <c r="B134" i="21"/>
  <c r="A134" i="21" s="1"/>
  <c r="B132" i="21"/>
  <c r="F134" i="21" s="1"/>
  <c r="B133" i="21"/>
  <c r="A133" i="21" s="1"/>
  <c r="B131" i="21"/>
  <c r="A131" i="21" s="1"/>
  <c r="B130" i="21"/>
  <c r="B129" i="21"/>
  <c r="F130" i="21" s="1"/>
  <c r="B128" i="21"/>
  <c r="B127" i="21"/>
  <c r="B126" i="21"/>
  <c r="B125" i="21"/>
  <c r="B124" i="21"/>
  <c r="B123" i="21"/>
  <c r="G125" i="21" s="1"/>
  <c r="B122" i="21"/>
  <c r="B121" i="21"/>
  <c r="A122" i="21"/>
  <c r="B120" i="21"/>
  <c r="B119" i="21"/>
  <c r="G121" i="21" s="1"/>
  <c r="B118" i="21"/>
  <c r="B117" i="21"/>
  <c r="A117" i="21" s="1"/>
  <c r="A118" i="21"/>
  <c r="B116" i="21"/>
  <c r="B115" i="21"/>
  <c r="B114" i="21"/>
  <c r="B113" i="21"/>
  <c r="B112" i="21"/>
  <c r="A113" i="21"/>
  <c r="B111" i="21"/>
  <c r="D113" i="21" s="1"/>
  <c r="AD112" i="21"/>
  <c r="B110" i="21"/>
  <c r="B109" i="21"/>
  <c r="B108" i="21"/>
  <c r="B107" i="21"/>
  <c r="A107" i="21" s="1"/>
  <c r="T106" i="21" s="1"/>
  <c r="B106" i="21"/>
  <c r="G108" i="21"/>
  <c r="B105" i="21"/>
  <c r="A105" i="21"/>
  <c r="AF104" i="21" s="1"/>
  <c r="B104" i="21"/>
  <c r="B103" i="21"/>
  <c r="A103" i="21" s="1"/>
  <c r="B102" i="21"/>
  <c r="B101" i="21"/>
  <c r="A101" i="21" s="1"/>
  <c r="B100" i="21"/>
  <c r="E100" i="21" s="1"/>
  <c r="B99" i="21"/>
  <c r="A99" i="21"/>
  <c r="B98" i="21"/>
  <c r="B97" i="21"/>
  <c r="B96" i="21"/>
  <c r="B95" i="21"/>
  <c r="B94" i="21"/>
  <c r="A95" i="21"/>
  <c r="B93" i="21"/>
  <c r="B92" i="21"/>
  <c r="A93" i="21"/>
  <c r="AD92" i="21" s="1"/>
  <c r="B91" i="21"/>
  <c r="A91" i="21" s="1"/>
  <c r="B90" i="21"/>
  <c r="B89" i="21"/>
  <c r="B88" i="21"/>
  <c r="B87" i="21"/>
  <c r="B86" i="21"/>
  <c r="B85" i="21"/>
  <c r="A85" i="21" s="1"/>
  <c r="R84" i="21" s="1"/>
  <c r="B84" i="21"/>
  <c r="B83" i="21"/>
  <c r="B82" i="21"/>
  <c r="B81" i="21"/>
  <c r="A81" i="21" s="1"/>
  <c r="B80" i="21"/>
  <c r="B79" i="21"/>
  <c r="H81" i="21"/>
  <c r="B78" i="21"/>
  <c r="A79" i="21"/>
  <c r="B77" i="21"/>
  <c r="A77" i="21" s="1"/>
  <c r="B76" i="21"/>
  <c r="B75" i="21"/>
  <c r="B74" i="21"/>
  <c r="B73" i="21"/>
  <c r="B72" i="21"/>
  <c r="B71" i="21"/>
  <c r="B70" i="21"/>
  <c r="B69" i="21"/>
  <c r="B68" i="21"/>
  <c r="B67" i="21"/>
  <c r="A67" i="21" s="1"/>
  <c r="P66" i="21" s="1"/>
  <c r="B66" i="21"/>
  <c r="B65" i="21"/>
  <c r="B64" i="21"/>
  <c r="A65" i="21"/>
  <c r="T64" i="21" s="1"/>
  <c r="B63" i="21"/>
  <c r="B62" i="21"/>
  <c r="B61" i="21"/>
  <c r="B60" i="21"/>
  <c r="B59" i="21"/>
  <c r="B58" i="21"/>
  <c r="A59" i="21"/>
  <c r="B57" i="21"/>
  <c r="B56" i="21"/>
  <c r="B55" i="21"/>
  <c r="B54" i="21"/>
  <c r="B53" i="21"/>
  <c r="B52" i="21"/>
  <c r="B51" i="21"/>
  <c r="B50" i="21"/>
  <c r="B49" i="21"/>
  <c r="A49" i="21" s="1"/>
  <c r="Z48" i="21" s="1"/>
  <c r="B48" i="21"/>
  <c r="B47" i="21"/>
  <c r="B46" i="21"/>
  <c r="B45" i="21"/>
  <c r="B44" i="21"/>
  <c r="B43" i="21"/>
  <c r="B42" i="21"/>
  <c r="B41" i="21"/>
  <c r="B40" i="21"/>
  <c r="A41" i="21"/>
  <c r="B39" i="21"/>
  <c r="B38" i="21"/>
  <c r="B37" i="21"/>
  <c r="B36" i="21"/>
  <c r="B35" i="21"/>
  <c r="B13" i="21"/>
  <c r="B14" i="21"/>
  <c r="H13" i="21" s="1"/>
  <c r="B15" i="21"/>
  <c r="H14" i="21" s="1"/>
  <c r="B16" i="21"/>
  <c r="B17" i="21"/>
  <c r="B18" i="21"/>
  <c r="B19" i="21"/>
  <c r="F12" i="21"/>
  <c r="E8" i="21" s="1"/>
  <c r="E15" i="21"/>
  <c r="E17" i="21"/>
  <c r="C7" i="21"/>
  <c r="G12" i="21" s="1"/>
  <c r="B20" i="21"/>
  <c r="B21" i="21"/>
  <c r="B22" i="21"/>
  <c r="B23" i="21"/>
  <c r="B24" i="21"/>
  <c r="B25" i="21"/>
  <c r="B26" i="21"/>
  <c r="A26" i="21" s="1"/>
  <c r="B27" i="21"/>
  <c r="A27" i="21" s="1"/>
  <c r="B28" i="21"/>
  <c r="F30" i="21" s="1"/>
  <c r="B29" i="21"/>
  <c r="A29" i="21" s="1"/>
  <c r="AJ28" i="21" s="1"/>
  <c r="B30" i="21"/>
  <c r="B31" i="21"/>
  <c r="B32" i="21"/>
  <c r="B33" i="21"/>
  <c r="B34" i="21"/>
  <c r="D13" i="21"/>
  <c r="C13" i="21" s="1"/>
  <c r="Y28" i="21"/>
  <c r="V28" i="21"/>
  <c r="F26" i="21"/>
  <c r="G7" i="21"/>
  <c r="E22" i="21"/>
  <c r="I154" i="1"/>
  <c r="I157" i="1"/>
  <c r="J135" i="1"/>
  <c r="C165" i="1" s="1"/>
  <c r="F166" i="1"/>
  <c r="J134" i="1"/>
  <c r="C164" i="1" s="1"/>
  <c r="D185" i="1"/>
  <c r="H140" i="1"/>
  <c r="H141" i="1"/>
  <c r="H142" i="1"/>
  <c r="H143" i="1"/>
  <c r="H144" i="1"/>
  <c r="H145" i="1"/>
  <c r="H146" i="1"/>
  <c r="H147" i="1"/>
  <c r="H148" i="1"/>
  <c r="H156" i="1"/>
  <c r="H160" i="1" s="1"/>
  <c r="E174" i="1"/>
  <c r="E97" i="1"/>
  <c r="E96" i="1"/>
  <c r="H4" i="8"/>
  <c r="C9" i="1"/>
  <c r="B11" i="1" s="1"/>
  <c r="E9" i="1"/>
  <c r="F23" i="16"/>
  <c r="D5" i="16"/>
  <c r="D25" i="16"/>
  <c r="D26" i="16" s="1"/>
  <c r="I10" i="16"/>
  <c r="I9" i="16"/>
  <c r="I8" i="16"/>
  <c r="H3" i="16"/>
  <c r="H4" i="16"/>
  <c r="J19" i="16"/>
  <c r="F22" i="11"/>
  <c r="F25" i="11"/>
  <c r="F29" i="11"/>
  <c r="F7" i="11"/>
  <c r="F3" i="11" s="1"/>
  <c r="H25" i="11"/>
  <c r="H21" i="11" s="1"/>
  <c r="G25" i="11"/>
  <c r="E31" i="11"/>
  <c r="G31" i="11"/>
  <c r="H29" i="11"/>
  <c r="H12" i="11"/>
  <c r="H7" i="11"/>
  <c r="H3" i="11" s="1"/>
  <c r="B16" i="8"/>
  <c r="B22" i="8"/>
  <c r="F16" i="8"/>
  <c r="F36" i="8" s="1"/>
  <c r="F34" i="8"/>
  <c r="F22" i="8"/>
  <c r="F20" i="8" s="1"/>
  <c r="D16" i="8"/>
  <c r="D36" i="8" s="1"/>
  <c r="D22" i="8"/>
  <c r="C273" i="1"/>
  <c r="G9" i="1"/>
  <c r="G21" i="11"/>
  <c r="E29" i="11"/>
  <c r="E22" i="11"/>
  <c r="E21" i="11" s="1"/>
  <c r="E25" i="11"/>
  <c r="G12" i="11"/>
  <c r="E12" i="11"/>
  <c r="E19" i="11" s="1"/>
  <c r="E7" i="11"/>
  <c r="E3" i="11" s="1"/>
  <c r="H32" i="8"/>
  <c r="C26" i="1"/>
  <c r="B26" i="1"/>
  <c r="G160" i="1"/>
  <c r="G273" i="1"/>
  <c r="H273" i="1"/>
  <c r="I273" i="1"/>
  <c r="J273" i="1"/>
  <c r="F273" i="1"/>
  <c r="J265" i="1"/>
  <c r="C265" i="1"/>
  <c r="T48" i="21"/>
  <c r="AF48" i="21"/>
  <c r="AB58" i="21"/>
  <c r="X76" i="21"/>
  <c r="P78" i="21"/>
  <c r="AF78" i="21"/>
  <c r="AJ78" i="21"/>
  <c r="AB80" i="21"/>
  <c r="P84" i="21"/>
  <c r="T84" i="21"/>
  <c r="X84" i="21"/>
  <c r="AF84" i="21"/>
  <c r="AJ84" i="21"/>
  <c r="AB100" i="21"/>
  <c r="T104" i="21"/>
  <c r="AB104" i="21"/>
  <c r="AJ104" i="21"/>
  <c r="Q117" i="21"/>
  <c r="S117" i="21"/>
  <c r="W117" i="21"/>
  <c r="Y117" i="21"/>
  <c r="AA117" i="21"/>
  <c r="AE117" i="21"/>
  <c r="AG117" i="21"/>
  <c r="AI117" i="21"/>
  <c r="P121" i="21"/>
  <c r="AF121" i="21"/>
  <c r="S132" i="21"/>
  <c r="AA132" i="21"/>
  <c r="AI132" i="21"/>
  <c r="AI28" i="21"/>
  <c r="H40" i="21"/>
  <c r="G39" i="21"/>
  <c r="E39" i="21"/>
  <c r="H42" i="21"/>
  <c r="G41" i="21"/>
  <c r="E41" i="21"/>
  <c r="A42" i="21"/>
  <c r="H46" i="21"/>
  <c r="A44" i="21"/>
  <c r="D48" i="21"/>
  <c r="A46" i="21"/>
  <c r="AG48" i="21"/>
  <c r="AC48" i="21"/>
  <c r="Y48" i="21"/>
  <c r="U48" i="21"/>
  <c r="Q48" i="21"/>
  <c r="D50" i="21"/>
  <c r="G49" i="21"/>
  <c r="E49" i="21"/>
  <c r="C49" i="21"/>
  <c r="A48" i="21"/>
  <c r="E51" i="21"/>
  <c r="G53" i="21"/>
  <c r="A52" i="21"/>
  <c r="AI58" i="21"/>
  <c r="AA58" i="21"/>
  <c r="S58" i="21"/>
  <c r="H60" i="21"/>
  <c r="F60" i="21"/>
  <c r="D60" i="21"/>
  <c r="E59" i="21"/>
  <c r="C59" i="21"/>
  <c r="A58" i="21"/>
  <c r="F62" i="21"/>
  <c r="A60" i="21"/>
  <c r="G63" i="21"/>
  <c r="A62" i="21"/>
  <c r="AI64" i="21"/>
  <c r="AG64" i="21"/>
  <c r="AC64" i="21"/>
  <c r="AA64" i="21"/>
  <c r="Y64" i="21"/>
  <c r="U64" i="21"/>
  <c r="S64" i="21"/>
  <c r="Q64" i="21"/>
  <c r="F66" i="21"/>
  <c r="C65" i="21"/>
  <c r="AC66" i="21"/>
  <c r="U66" i="21"/>
  <c r="H68" i="21"/>
  <c r="G67" i="21"/>
  <c r="E67" i="21"/>
  <c r="C67" i="21"/>
  <c r="A66" i="21"/>
  <c r="F70" i="21"/>
  <c r="A68" i="21"/>
  <c r="E71" i="21"/>
  <c r="C71" i="21"/>
  <c r="A70" i="21"/>
  <c r="AH69" i="21" s="1"/>
  <c r="D3" i="8"/>
  <c r="F3" i="8"/>
  <c r="X25" i="21"/>
  <c r="AH25" i="21"/>
  <c r="G73" i="21"/>
  <c r="A74" i="21"/>
  <c r="C75" i="21"/>
  <c r="E75" i="21"/>
  <c r="G75" i="21"/>
  <c r="F76" i="21"/>
  <c r="A76" i="21"/>
  <c r="Q76" i="21"/>
  <c r="Y76" i="21"/>
  <c r="AG76" i="21"/>
  <c r="C77" i="21"/>
  <c r="D78" i="21"/>
  <c r="F78" i="21"/>
  <c r="A78" i="21"/>
  <c r="Q78" i="21"/>
  <c r="S78" i="21"/>
  <c r="U78" i="21"/>
  <c r="W78" i="21"/>
  <c r="Y78" i="21"/>
  <c r="AA78" i="21"/>
  <c r="AC78" i="21"/>
  <c r="AE78" i="21"/>
  <c r="AG78" i="21"/>
  <c r="AI78" i="21"/>
  <c r="C79" i="21"/>
  <c r="E79" i="21"/>
  <c r="G79" i="21"/>
  <c r="D80" i="21"/>
  <c r="F80" i="21"/>
  <c r="A80" i="21"/>
  <c r="Q80" i="21"/>
  <c r="Y80" i="21"/>
  <c r="AG80" i="21"/>
  <c r="C81" i="21"/>
  <c r="E81" i="21"/>
  <c r="G81" i="21"/>
  <c r="D82" i="21"/>
  <c r="E83" i="21"/>
  <c r="G83" i="21"/>
  <c r="A84" i="21"/>
  <c r="Q84" i="21"/>
  <c r="S84" i="21"/>
  <c r="U84" i="21"/>
  <c r="W84" i="21"/>
  <c r="Y84" i="21"/>
  <c r="AA84" i="21"/>
  <c r="AC84" i="21"/>
  <c r="AE84" i="21"/>
  <c r="AG84" i="21"/>
  <c r="AI84" i="21"/>
  <c r="C85" i="21"/>
  <c r="E85" i="21"/>
  <c r="G85" i="21"/>
  <c r="H87" i="21"/>
  <c r="C88" i="21"/>
  <c r="H89" i="21"/>
  <c r="C90" i="21"/>
  <c r="Z90" i="21"/>
  <c r="C92" i="21"/>
  <c r="Z92" i="21"/>
  <c r="D93" i="21"/>
  <c r="H93" i="21"/>
  <c r="R94" i="21"/>
  <c r="V94" i="21"/>
  <c r="Z94" i="21"/>
  <c r="AD94" i="21"/>
  <c r="C96" i="21"/>
  <c r="D97" i="21"/>
  <c r="R98" i="21"/>
  <c r="V98" i="21"/>
  <c r="AD98" i="21"/>
  <c r="D99" i="21"/>
  <c r="C100" i="21"/>
  <c r="R100" i="21"/>
  <c r="V100" i="21"/>
  <c r="D101" i="21"/>
  <c r="H101" i="21"/>
  <c r="AD102" i="21"/>
  <c r="D103" i="21"/>
  <c r="H103" i="21"/>
  <c r="R104" i="21"/>
  <c r="V104" i="21"/>
  <c r="Z104" i="21"/>
  <c r="AD104" i="21"/>
  <c r="C106" i="21"/>
  <c r="R106" i="21"/>
  <c r="V106" i="21"/>
  <c r="Z106" i="21"/>
  <c r="AD106" i="21"/>
  <c r="D107" i="21"/>
  <c r="H107" i="21"/>
  <c r="C108" i="21"/>
  <c r="H86" i="21"/>
  <c r="F86" i="21"/>
  <c r="D86" i="21"/>
  <c r="H88" i="21"/>
  <c r="F88" i="21"/>
  <c r="D88" i="21"/>
  <c r="G87" i="21"/>
  <c r="E87" i="21"/>
  <c r="C87" i="21"/>
  <c r="A86" i="21"/>
  <c r="H90" i="21"/>
  <c r="F90" i="21"/>
  <c r="D90" i="21"/>
  <c r="G89" i="21"/>
  <c r="E89" i="21"/>
  <c r="C89" i="21"/>
  <c r="A88" i="21"/>
  <c r="I90" i="21"/>
  <c r="J91" i="21" s="1"/>
  <c r="AE90" i="21"/>
  <c r="AC90" i="21"/>
  <c r="W90" i="21"/>
  <c r="U90" i="21"/>
  <c r="H92" i="21"/>
  <c r="F92" i="21"/>
  <c r="D92" i="21"/>
  <c r="G91" i="21"/>
  <c r="E91" i="21"/>
  <c r="C91" i="21"/>
  <c r="A90" i="21"/>
  <c r="AJ89" i="21" s="1"/>
  <c r="AG92" i="21"/>
  <c r="AA92" i="21"/>
  <c r="Q92" i="21"/>
  <c r="H94" i="21"/>
  <c r="G93" i="21"/>
  <c r="E93" i="21"/>
  <c r="C93" i="21"/>
  <c r="A92" i="21"/>
  <c r="I94" i="21"/>
  <c r="J95" i="21" s="1"/>
  <c r="AI94" i="21"/>
  <c r="AG94" i="21"/>
  <c r="AE94" i="21"/>
  <c r="AC94" i="21"/>
  <c r="AA94" i="21"/>
  <c r="Y94" i="21"/>
  <c r="W94" i="21"/>
  <c r="U94" i="21"/>
  <c r="S94" i="21"/>
  <c r="Q94" i="21"/>
  <c r="F96" i="21"/>
  <c r="D96" i="21"/>
  <c r="C95" i="21"/>
  <c r="A94" i="21"/>
  <c r="D98" i="21"/>
  <c r="G97" i="21"/>
  <c r="A96" i="21"/>
  <c r="I98" i="21"/>
  <c r="J99" i="21" s="1"/>
  <c r="AI98" i="21"/>
  <c r="AG98" i="21"/>
  <c r="AE98" i="21"/>
  <c r="AC98" i="21"/>
  <c r="AA98" i="21"/>
  <c r="Y98" i="21"/>
  <c r="W98" i="21"/>
  <c r="U98" i="21"/>
  <c r="S98" i="21"/>
  <c r="Q98" i="21"/>
  <c r="H100" i="21"/>
  <c r="F100" i="21"/>
  <c r="D100" i="21"/>
  <c r="E99" i="21"/>
  <c r="C99" i="21"/>
  <c r="A98" i="21"/>
  <c r="AI100" i="21"/>
  <c r="AG100" i="21"/>
  <c r="AA100" i="21"/>
  <c r="Y100" i="21"/>
  <c r="S100" i="21"/>
  <c r="Q100" i="21"/>
  <c r="D102" i="21"/>
  <c r="G101" i="21"/>
  <c r="A100" i="21"/>
  <c r="I102" i="21"/>
  <c r="J103" i="21" s="1"/>
  <c r="AE102" i="21"/>
  <c r="W102" i="21"/>
  <c r="H104" i="21"/>
  <c r="F104" i="21"/>
  <c r="E103" i="21"/>
  <c r="C103" i="21"/>
  <c r="A102" i="21"/>
  <c r="AJ101" i="21" s="1"/>
  <c r="I104" i="21"/>
  <c r="J105" i="21" s="1"/>
  <c r="AI104" i="21"/>
  <c r="AG104" i="21"/>
  <c r="AE104" i="21"/>
  <c r="AC104" i="21"/>
  <c r="AA104" i="21"/>
  <c r="Y104" i="21"/>
  <c r="W104" i="21"/>
  <c r="U104" i="21"/>
  <c r="S104" i="21"/>
  <c r="Q104" i="21"/>
  <c r="F106" i="21"/>
  <c r="D106" i="21"/>
  <c r="C105" i="21"/>
  <c r="A104" i="21"/>
  <c r="AE103" i="21" s="1"/>
  <c r="I106" i="21"/>
  <c r="J107" i="21" s="1"/>
  <c r="AI106" i="21"/>
  <c r="AG106" i="21"/>
  <c r="AE106" i="21"/>
  <c r="AC106" i="21"/>
  <c r="AA106" i="21"/>
  <c r="Y106" i="21"/>
  <c r="W106" i="21"/>
  <c r="U106" i="21"/>
  <c r="S106" i="21"/>
  <c r="Q106" i="21"/>
  <c r="H108" i="21"/>
  <c r="F108" i="21"/>
  <c r="D108" i="21"/>
  <c r="G107" i="21"/>
  <c r="E107" i="21"/>
  <c r="C107" i="21"/>
  <c r="A106" i="21"/>
  <c r="H121" i="21"/>
  <c r="F121" i="21"/>
  <c r="D121" i="21"/>
  <c r="G120" i="21"/>
  <c r="E120" i="21"/>
  <c r="C120" i="21"/>
  <c r="I121" i="21"/>
  <c r="J122" i="21" s="1"/>
  <c r="AI121" i="21"/>
  <c r="AG121" i="21"/>
  <c r="AE121" i="21"/>
  <c r="AC121" i="21"/>
  <c r="AA121" i="21"/>
  <c r="Y121" i="21"/>
  <c r="W121" i="21"/>
  <c r="U121" i="21"/>
  <c r="S121" i="21"/>
  <c r="Q121" i="21"/>
  <c r="D123" i="21"/>
  <c r="G122" i="21"/>
  <c r="E122" i="21"/>
  <c r="C122" i="21"/>
  <c r="A121" i="21"/>
  <c r="H125" i="21"/>
  <c r="G124" i="21"/>
  <c r="E124" i="21"/>
  <c r="A108" i="21"/>
  <c r="C109" i="21"/>
  <c r="E109" i="21"/>
  <c r="G109" i="21"/>
  <c r="D110" i="21"/>
  <c r="F110" i="21"/>
  <c r="A110" i="21"/>
  <c r="C111" i="21"/>
  <c r="E111" i="21"/>
  <c r="G111" i="21"/>
  <c r="D112" i="21"/>
  <c r="F112" i="21"/>
  <c r="A112" i="21"/>
  <c r="AI111" i="21" s="1"/>
  <c r="Q112" i="21"/>
  <c r="S112" i="21"/>
  <c r="U112" i="21"/>
  <c r="W112" i="21"/>
  <c r="Y112" i="21"/>
  <c r="AA112" i="21"/>
  <c r="AC112" i="21"/>
  <c r="AE112" i="21"/>
  <c r="AG112" i="21"/>
  <c r="AI112" i="21"/>
  <c r="C113" i="21"/>
  <c r="E113" i="21"/>
  <c r="G113" i="21"/>
  <c r="D114" i="21"/>
  <c r="F114" i="21"/>
  <c r="A114" i="21"/>
  <c r="T113" i="21" s="1"/>
  <c r="C115" i="21"/>
  <c r="E115" i="21"/>
  <c r="G115" i="21"/>
  <c r="D116" i="21"/>
  <c r="F116" i="21"/>
  <c r="A116" i="21"/>
  <c r="I115" i="21" s="1"/>
  <c r="J116" i="21" s="1"/>
  <c r="Q116" i="21"/>
  <c r="S116" i="21"/>
  <c r="U116" i="21"/>
  <c r="W116" i="21"/>
  <c r="Y116" i="21"/>
  <c r="AA116" i="21"/>
  <c r="AC116" i="21"/>
  <c r="AE116" i="21"/>
  <c r="AG116" i="21"/>
  <c r="AI116" i="21"/>
  <c r="C117" i="21"/>
  <c r="E117" i="21"/>
  <c r="G117" i="21"/>
  <c r="D118" i="21"/>
  <c r="F118" i="21"/>
  <c r="AH133" i="21"/>
  <c r="Z133" i="21"/>
  <c r="R133" i="21"/>
  <c r="AE133" i="21"/>
  <c r="W133" i="21"/>
  <c r="A125" i="21"/>
  <c r="C126" i="21"/>
  <c r="E126" i="21"/>
  <c r="G126" i="21"/>
  <c r="D127" i="21"/>
  <c r="F127" i="21"/>
  <c r="A127" i="21"/>
  <c r="AF126" i="21" s="1"/>
  <c r="C128" i="21"/>
  <c r="E128" i="21"/>
  <c r="G128" i="21"/>
  <c r="D129" i="21"/>
  <c r="F129" i="21"/>
  <c r="D131" i="21"/>
  <c r="F131" i="21"/>
  <c r="D133" i="21"/>
  <c r="F133" i="21"/>
  <c r="C134" i="21"/>
  <c r="E134" i="21"/>
  <c r="Q115" i="21"/>
  <c r="AD115" i="21"/>
  <c r="R111" i="21"/>
  <c r="AI109" i="21"/>
  <c r="S107" i="21"/>
  <c r="I120" i="21"/>
  <c r="J121" i="21" s="1"/>
  <c r="U103" i="21"/>
  <c r="AH101" i="21"/>
  <c r="AF101" i="21"/>
  <c r="AD101" i="21"/>
  <c r="Z101" i="21"/>
  <c r="X101" i="21"/>
  <c r="V101" i="21"/>
  <c r="R101" i="21"/>
  <c r="P101" i="21"/>
  <c r="AI101" i="21"/>
  <c r="AA101" i="21"/>
  <c r="W101" i="21"/>
  <c r="S101" i="21"/>
  <c r="AG101" i="21"/>
  <c r="AC101" i="21"/>
  <c r="U101" i="21"/>
  <c r="Q101" i="21"/>
  <c r="AB97" i="21"/>
  <c r="AE97" i="21"/>
  <c r="Y97" i="21"/>
  <c r="P95" i="21"/>
  <c r="W95" i="21"/>
  <c r="AJ91" i="21"/>
  <c r="AD91" i="21"/>
  <c r="AB91" i="21"/>
  <c r="V91" i="21"/>
  <c r="T91" i="21"/>
  <c r="AI91" i="21"/>
  <c r="AE91" i="21"/>
  <c r="S91" i="21"/>
  <c r="I91" i="21"/>
  <c r="J92" i="21" s="1"/>
  <c r="AC91" i="21"/>
  <c r="Y91" i="21"/>
  <c r="AH89" i="21"/>
  <c r="Z89" i="21"/>
  <c r="R89" i="21"/>
  <c r="AE89" i="21"/>
  <c r="S89" i="21"/>
  <c r="Y89" i="21"/>
  <c r="AJ87" i="21"/>
  <c r="AH87" i="21"/>
  <c r="AB87" i="21"/>
  <c r="Z87" i="21"/>
  <c r="T87" i="21"/>
  <c r="R87" i="21"/>
  <c r="AE87" i="21"/>
  <c r="AA87" i="21"/>
  <c r="I87" i="21"/>
  <c r="J88" i="21" s="1"/>
  <c r="Y87" i="21"/>
  <c r="U87" i="21"/>
  <c r="AH85" i="21"/>
  <c r="AF85" i="21"/>
  <c r="Z85" i="21"/>
  <c r="X85" i="21"/>
  <c r="AA85" i="21"/>
  <c r="W85" i="21"/>
  <c r="Q85" i="21"/>
  <c r="I85" i="21"/>
  <c r="J86" i="21" s="1"/>
  <c r="AC85" i="21"/>
  <c r="Y85" i="21"/>
  <c r="R85" i="21"/>
  <c r="P85" i="21"/>
  <c r="W83" i="21"/>
  <c r="AJ83" i="21"/>
  <c r="I79" i="21"/>
  <c r="J80" i="21"/>
  <c r="AI79" i="21"/>
  <c r="AG79" i="21"/>
  <c r="AE79" i="21"/>
  <c r="AC79" i="21"/>
  <c r="AA79" i="21"/>
  <c r="Y79" i="21"/>
  <c r="W79" i="21"/>
  <c r="U79" i="21"/>
  <c r="S79" i="21"/>
  <c r="Q79" i="21"/>
  <c r="AJ79" i="21"/>
  <c r="AH79" i="21"/>
  <c r="AF79" i="21"/>
  <c r="AD79" i="21"/>
  <c r="AB79" i="21"/>
  <c r="Z79" i="21"/>
  <c r="X79" i="21"/>
  <c r="V79" i="21"/>
  <c r="T79" i="21"/>
  <c r="R79" i="21"/>
  <c r="P79" i="21"/>
  <c r="I77" i="21"/>
  <c r="J78" i="21" s="1"/>
  <c r="AI77" i="21"/>
  <c r="AG77" i="21"/>
  <c r="AE77" i="21"/>
  <c r="AC77" i="21"/>
  <c r="AA77" i="21"/>
  <c r="Y77" i="21"/>
  <c r="W77" i="21"/>
  <c r="U77" i="21"/>
  <c r="S77" i="21"/>
  <c r="Q77" i="21"/>
  <c r="AJ77" i="21"/>
  <c r="AH77" i="21"/>
  <c r="AF77" i="21"/>
  <c r="AD77" i="21"/>
  <c r="AB77" i="21"/>
  <c r="Z77" i="21"/>
  <c r="X77" i="21"/>
  <c r="V77" i="21"/>
  <c r="T77" i="21"/>
  <c r="R77" i="21"/>
  <c r="P77" i="21"/>
  <c r="I75" i="21"/>
  <c r="J76" i="21" s="1"/>
  <c r="AI75" i="21"/>
  <c r="AC75" i="21"/>
  <c r="AA75" i="21"/>
  <c r="U75" i="21"/>
  <c r="S75" i="21"/>
  <c r="AH75" i="21"/>
  <c r="AF75" i="21"/>
  <c r="Z75" i="21"/>
  <c r="X75" i="21"/>
  <c r="R75" i="21"/>
  <c r="P75" i="21"/>
  <c r="I73" i="21"/>
  <c r="J74" i="21" s="1"/>
  <c r="AI73" i="21"/>
  <c r="AG73" i="21"/>
  <c r="AE73" i="21"/>
  <c r="AC73" i="21"/>
  <c r="AA73" i="21"/>
  <c r="Y73" i="21"/>
  <c r="W73" i="21"/>
  <c r="U73" i="21"/>
  <c r="S73" i="21"/>
  <c r="Q73" i="21"/>
  <c r="AJ73" i="21"/>
  <c r="AH73" i="21"/>
  <c r="AF73" i="21"/>
  <c r="AD73" i="21"/>
  <c r="AB73" i="21"/>
  <c r="Z73" i="21"/>
  <c r="X73" i="21"/>
  <c r="V73" i="21"/>
  <c r="T73" i="21"/>
  <c r="R73" i="21"/>
  <c r="P73" i="21"/>
  <c r="E29" i="8"/>
  <c r="E28" i="8"/>
  <c r="E25" i="8"/>
  <c r="E24" i="8"/>
  <c r="E19" i="8"/>
  <c r="E18" i="8"/>
  <c r="E14" i="8"/>
  <c r="E13" i="8"/>
  <c r="E10" i="8"/>
  <c r="E9" i="8"/>
  <c r="E6" i="8"/>
  <c r="E5" i="8"/>
  <c r="E38" i="8"/>
  <c r="E37" i="8"/>
  <c r="E33" i="8"/>
  <c r="G39" i="8"/>
  <c r="G38" i="8"/>
  <c r="G33" i="8"/>
  <c r="G30" i="8"/>
  <c r="G27" i="8"/>
  <c r="G26" i="8"/>
  <c r="G23" i="8"/>
  <c r="G22" i="8"/>
  <c r="G18" i="8"/>
  <c r="G17" i="8"/>
  <c r="G16" i="8"/>
  <c r="G14" i="8"/>
  <c r="G13" i="8"/>
  <c r="G12" i="8"/>
  <c r="G10" i="8"/>
  <c r="G9" i="8"/>
  <c r="G8" i="8"/>
  <c r="G6" i="8"/>
  <c r="G5" i="8"/>
  <c r="G4" i="8"/>
  <c r="Q69" i="21"/>
  <c r="AF67" i="21"/>
  <c r="X67" i="21"/>
  <c r="P67" i="21"/>
  <c r="AC67" i="21"/>
  <c r="AI67" i="21"/>
  <c r="S67" i="21"/>
  <c r="X65" i="21"/>
  <c r="AD61" i="21"/>
  <c r="T61" i="21"/>
  <c r="Y61" i="21"/>
  <c r="AA61" i="21"/>
  <c r="AD59" i="21"/>
  <c r="V59" i="21"/>
  <c r="I59" i="21"/>
  <c r="J60" i="21" s="1"/>
  <c r="Y59" i="21"/>
  <c r="AE59" i="21"/>
  <c r="AJ57" i="21"/>
  <c r="AH57" i="21"/>
  <c r="AD57" i="21"/>
  <c r="AB57" i="21"/>
  <c r="Z57" i="21"/>
  <c r="V57" i="21"/>
  <c r="T57" i="21"/>
  <c r="R57" i="21"/>
  <c r="I57" i="21"/>
  <c r="J58" i="21" s="1"/>
  <c r="AG57" i="21"/>
  <c r="Y57" i="21"/>
  <c r="U57" i="21"/>
  <c r="Q57" i="21"/>
  <c r="AE57" i="21"/>
  <c r="AA57" i="21"/>
  <c r="W57" i="21"/>
  <c r="AJ51" i="21"/>
  <c r="AH51" i="21"/>
  <c r="AD51" i="21"/>
  <c r="AB51" i="21"/>
  <c r="Z51" i="21"/>
  <c r="V51" i="21"/>
  <c r="T51" i="21"/>
  <c r="R51" i="21"/>
  <c r="I51" i="21"/>
  <c r="J52" i="21"/>
  <c r="AG51" i="21"/>
  <c r="Y51" i="21"/>
  <c r="U51" i="21"/>
  <c r="Q51" i="21"/>
  <c r="AE51" i="21"/>
  <c r="AA51" i="21"/>
  <c r="W51" i="21"/>
  <c r="AF47" i="21"/>
  <c r="X47" i="21"/>
  <c r="P47" i="21"/>
  <c r="AC47" i="21"/>
  <c r="AI47" i="21"/>
  <c r="S47" i="21"/>
  <c r="AD45" i="21"/>
  <c r="V45" i="21"/>
  <c r="I45" i="21"/>
  <c r="J46" i="21" s="1"/>
  <c r="Y45" i="21"/>
  <c r="AE45" i="21"/>
  <c r="AJ43" i="21"/>
  <c r="AH43" i="21"/>
  <c r="AF43" i="21"/>
  <c r="AD43" i="21"/>
  <c r="AB43" i="21"/>
  <c r="Z43" i="21"/>
  <c r="X43" i="21"/>
  <c r="V43" i="21"/>
  <c r="T43" i="21"/>
  <c r="R43" i="21"/>
  <c r="P43" i="21"/>
  <c r="I43" i="21"/>
  <c r="J44" i="21"/>
  <c r="AG43" i="21"/>
  <c r="AC43" i="21"/>
  <c r="Y43" i="21"/>
  <c r="U43" i="21"/>
  <c r="Q43" i="21"/>
  <c r="AI43" i="21"/>
  <c r="AE43" i="21"/>
  <c r="AA43" i="21"/>
  <c r="W43" i="21"/>
  <c r="S43" i="21"/>
  <c r="AH41" i="21"/>
  <c r="Z41" i="21"/>
  <c r="R41" i="21"/>
  <c r="AG41" i="21"/>
  <c r="Q41" i="21"/>
  <c r="W41" i="21"/>
  <c r="G34" i="8"/>
  <c r="AC124" i="21"/>
  <c r="AI113" i="21"/>
  <c r="AA113" i="21"/>
  <c r="S113" i="21"/>
  <c r="AF113" i="21"/>
  <c r="X113" i="21"/>
  <c r="P113" i="21"/>
  <c r="AG113" i="21"/>
  <c r="Y113" i="21"/>
  <c r="Q113" i="21"/>
  <c r="AD113" i="21"/>
  <c r="V113" i="21"/>
  <c r="AF105" i="21"/>
  <c r="X105" i="21"/>
  <c r="P105" i="21"/>
  <c r="W105" i="21"/>
  <c r="AG105" i="21"/>
  <c r="Q105" i="21"/>
  <c r="AD105" i="21"/>
  <c r="V105" i="21"/>
  <c r="AI105" i="21"/>
  <c r="S105" i="21"/>
  <c r="AC105" i="21"/>
  <c r="AH99" i="21"/>
  <c r="Z99" i="21"/>
  <c r="R99" i="21"/>
  <c r="AA99" i="21"/>
  <c r="U99" i="21"/>
  <c r="AF99" i="21"/>
  <c r="X99" i="21"/>
  <c r="P99" i="21"/>
  <c r="W99" i="21"/>
  <c r="AG99" i="21"/>
  <c r="Q99" i="21"/>
  <c r="B20" i="8"/>
  <c r="E58" i="21"/>
  <c r="C56" i="21"/>
  <c r="C58" i="21"/>
  <c r="D57" i="21"/>
  <c r="G56" i="21"/>
  <c r="E56" i="21"/>
  <c r="G58" i="21"/>
  <c r="F56" i="21"/>
  <c r="D58" i="21"/>
  <c r="A56" i="21"/>
  <c r="H58" i="21"/>
  <c r="E57" i="21"/>
  <c r="D56" i="21"/>
  <c r="G57" i="21"/>
  <c r="C57" i="21"/>
  <c r="F57" i="21"/>
  <c r="Q65" i="21"/>
  <c r="AH65" i="21"/>
  <c r="AA124" i="21"/>
  <c r="Y124" i="21"/>
  <c r="AC89" i="21"/>
  <c r="AA89" i="21"/>
  <c r="T89" i="21"/>
  <c r="I99" i="21"/>
  <c r="J100" i="21" s="1"/>
  <c r="T99" i="21"/>
  <c r="AJ99" i="21"/>
  <c r="U105" i="21"/>
  <c r="AA105" i="21"/>
  <c r="Z105" i="21"/>
  <c r="X111" i="21"/>
  <c r="S111" i="21"/>
  <c r="Z113" i="21"/>
  <c r="U113" i="21"/>
  <c r="AB115" i="21"/>
  <c r="W115" i="21"/>
  <c r="AH91" i="21"/>
  <c r="Z91" i="21"/>
  <c r="R91" i="21"/>
  <c r="AA91" i="21"/>
  <c r="U91" i="21"/>
  <c r="AF91" i="21"/>
  <c r="X91" i="21"/>
  <c r="P91" i="21"/>
  <c r="W91" i="21"/>
  <c r="AG91" i="21"/>
  <c r="Q91" i="21"/>
  <c r="AH92" i="21"/>
  <c r="P92" i="21"/>
  <c r="AF92" i="21"/>
  <c r="AJ92" i="21"/>
  <c r="X92" i="21"/>
  <c r="T92" i="21"/>
  <c r="AB92" i="21"/>
  <c r="R92" i="21"/>
  <c r="I92" i="21"/>
  <c r="J93" i="21" s="1"/>
  <c r="AE92" i="21"/>
  <c r="W92" i="21"/>
  <c r="V92" i="21"/>
  <c r="AC92" i="21"/>
  <c r="U92" i="21"/>
  <c r="AG111" i="21"/>
  <c r="Y111" i="21"/>
  <c r="Q111" i="21"/>
  <c r="AD111" i="21"/>
  <c r="V111" i="21"/>
  <c r="I111" i="21"/>
  <c r="J112" i="21" s="1"/>
  <c r="AE111" i="21"/>
  <c r="W111" i="21"/>
  <c r="AJ111" i="21"/>
  <c r="AB111" i="21"/>
  <c r="T111" i="21"/>
  <c r="R107" i="21"/>
  <c r="AA107" i="21"/>
  <c r="X107" i="21"/>
  <c r="P107" i="21"/>
  <c r="Q107" i="21"/>
  <c r="AB65" i="21"/>
  <c r="S99" i="21"/>
  <c r="V99" i="21"/>
  <c r="AE105" i="21"/>
  <c r="AD107" i="21"/>
  <c r="Z111" i="21"/>
  <c r="AB113" i="21"/>
  <c r="W113" i="21"/>
  <c r="I113" i="21"/>
  <c r="J114" i="21" s="1"/>
  <c r="AF89" i="21"/>
  <c r="X89" i="21"/>
  <c r="P89" i="21"/>
  <c r="W89" i="21"/>
  <c r="AG89" i="21"/>
  <c r="Q89" i="21"/>
  <c r="AD89" i="21"/>
  <c r="V89" i="21"/>
  <c r="U65" i="21"/>
  <c r="T124" i="21"/>
  <c r="AD124" i="21"/>
  <c r="Y105" i="21"/>
  <c r="AB105" i="21"/>
  <c r="AC107" i="21"/>
  <c r="U111" i="21"/>
  <c r="AC115" i="21"/>
  <c r="U115" i="21"/>
  <c r="AH115" i="21"/>
  <c r="Z115" i="21"/>
  <c r="R115" i="21"/>
  <c r="AI115" i="21"/>
  <c r="AA115" i="21"/>
  <c r="S115" i="21"/>
  <c r="AF115" i="21"/>
  <c r="X115" i="21"/>
  <c r="P115" i="21"/>
  <c r="W109" i="21"/>
  <c r="R109" i="21"/>
  <c r="H56" i="21"/>
  <c r="Y65" i="21"/>
  <c r="Q124" i="21"/>
  <c r="AH124" i="21"/>
  <c r="U89" i="21"/>
  <c r="I89" i="21"/>
  <c r="J90" i="21" s="1"/>
  <c r="AI89" i="21"/>
  <c r="AB89" i="21"/>
  <c r="Y99" i="21"/>
  <c r="AE99" i="21"/>
  <c r="AB99" i="21"/>
  <c r="R105" i="21"/>
  <c r="AH105" i="21"/>
  <c r="I107" i="21"/>
  <c r="J108" i="21" s="1"/>
  <c r="AJ107" i="21"/>
  <c r="Y109" i="21"/>
  <c r="P111" i="21"/>
  <c r="AF111" i="21"/>
  <c r="AA111" i="21"/>
  <c r="R113" i="21"/>
  <c r="AH113" i="21"/>
  <c r="AC113" i="21"/>
  <c r="T115" i="21"/>
  <c r="AJ115" i="21"/>
  <c r="AE115" i="21"/>
  <c r="AF97" i="21"/>
  <c r="X97" i="21"/>
  <c r="P97" i="21"/>
  <c r="AG97" i="21"/>
  <c r="Q97" i="21"/>
  <c r="AD97" i="21"/>
  <c r="AI97" i="21"/>
  <c r="S97" i="21"/>
  <c r="AC97" i="21"/>
  <c r="F58" i="21"/>
  <c r="A34" i="21"/>
  <c r="H36" i="21"/>
  <c r="D36" i="21"/>
  <c r="H35" i="21"/>
  <c r="D35" i="21"/>
  <c r="H34" i="21"/>
  <c r="D34" i="21"/>
  <c r="G36" i="21"/>
  <c r="C36" i="21"/>
  <c r="G35" i="21"/>
  <c r="C35" i="21"/>
  <c r="C34" i="21"/>
  <c r="E36" i="21"/>
  <c r="E35" i="21"/>
  <c r="E34" i="21"/>
  <c r="F35" i="21"/>
  <c r="Y25" i="21"/>
  <c r="AG25" i="21"/>
  <c r="Q25" i="21"/>
  <c r="AE25" i="21"/>
  <c r="Z25" i="21"/>
  <c r="U25" i="21"/>
  <c r="AI25" i="21"/>
  <c r="AB25" i="21"/>
  <c r="T25" i="21"/>
  <c r="AF25" i="21"/>
  <c r="S25" i="21"/>
  <c r="W25" i="21"/>
  <c r="R25" i="21"/>
  <c r="V25" i="21"/>
  <c r="AA25" i="21"/>
  <c r="AD25" i="21"/>
  <c r="AC25" i="21"/>
  <c r="H17" i="21"/>
  <c r="H18" i="21"/>
  <c r="H16" i="21"/>
  <c r="G36" i="11"/>
  <c r="H55" i="21"/>
  <c r="A53" i="21"/>
  <c r="F55" i="21"/>
  <c r="D55" i="21"/>
  <c r="E54" i="21"/>
  <c r="H54" i="21"/>
  <c r="E53" i="21"/>
  <c r="C55" i="21"/>
  <c r="D54" i="21"/>
  <c r="G55" i="21"/>
  <c r="H84" i="21"/>
  <c r="E84" i="21"/>
  <c r="H82" i="21"/>
  <c r="C84" i="21"/>
  <c r="G84" i="21"/>
  <c r="D83" i="21"/>
  <c r="E82" i="21"/>
  <c r="F82" i="21"/>
  <c r="Y101" i="21"/>
  <c r="I101" i="21"/>
  <c r="J102" i="21" s="1"/>
  <c r="AE101" i="21"/>
  <c r="T101" i="21"/>
  <c r="AB101" i="21"/>
  <c r="AB126" i="21"/>
  <c r="G165" i="1"/>
  <c r="F165" i="1"/>
  <c r="H30" i="21"/>
  <c r="D30" i="21"/>
  <c r="H29" i="21"/>
  <c r="D29" i="21"/>
  <c r="G30" i="21"/>
  <c r="C30" i="21"/>
  <c r="A28" i="21"/>
  <c r="E30" i="21"/>
  <c r="E29" i="21"/>
  <c r="E28" i="21"/>
  <c r="AD40" i="21"/>
  <c r="AJ40" i="21"/>
  <c r="AH40" i="21"/>
  <c r="AB40" i="21"/>
  <c r="Z40" i="21"/>
  <c r="AF40" i="21"/>
  <c r="AI40" i="21"/>
  <c r="AA40" i="21"/>
  <c r="S40" i="21"/>
  <c r="R40" i="21"/>
  <c r="T40" i="21"/>
  <c r="I40" i="21"/>
  <c r="J41" i="21" s="1"/>
  <c r="AE40" i="21"/>
  <c r="W40" i="21"/>
  <c r="AH48" i="21"/>
  <c r="R48" i="21"/>
  <c r="AD48" i="21"/>
  <c r="V48" i="21"/>
  <c r="AB48" i="21"/>
  <c r="P48" i="21"/>
  <c r="AI48" i="21"/>
  <c r="AA48" i="21"/>
  <c r="S48" i="21"/>
  <c r="AJ48" i="21"/>
  <c r="X48" i="21"/>
  <c r="I48" i="21"/>
  <c r="J49" i="21" s="1"/>
  <c r="AE48" i="21"/>
  <c r="W48" i="21"/>
  <c r="C54" i="21"/>
  <c r="AH64" i="21"/>
  <c r="R64" i="21"/>
  <c r="AD64" i="21"/>
  <c r="V64" i="21"/>
  <c r="AB64" i="21"/>
  <c r="AJ64" i="21"/>
  <c r="P64" i="21"/>
  <c r="X64" i="21"/>
  <c r="I64" i="21"/>
  <c r="J65" i="21" s="1"/>
  <c r="AE64" i="21"/>
  <c r="W64" i="21"/>
  <c r="H71" i="21"/>
  <c r="A69" i="21"/>
  <c r="F71" i="21"/>
  <c r="D71" i="21"/>
  <c r="E70" i="21"/>
  <c r="D70" i="21"/>
  <c r="G71" i="21"/>
  <c r="F99" i="21"/>
  <c r="A97" i="21"/>
  <c r="B36" i="8"/>
  <c r="B3" i="8"/>
  <c r="C25" i="8" s="1"/>
  <c r="A13" i="21"/>
  <c r="AE11" i="21" s="1"/>
  <c r="F13" i="21"/>
  <c r="F47" i="21"/>
  <c r="D47" i="21"/>
  <c r="A45" i="21"/>
  <c r="H57" i="21"/>
  <c r="AJ66" i="21"/>
  <c r="V66" i="21"/>
  <c r="AH66" i="21"/>
  <c r="R66" i="21"/>
  <c r="X66" i="21"/>
  <c r="F69" i="21"/>
  <c r="D69" i="21"/>
  <c r="H69" i="21"/>
  <c r="H67" i="21"/>
  <c r="F111" i="21"/>
  <c r="A109" i="21"/>
  <c r="AD108" i="21" s="1"/>
  <c r="F109" i="21"/>
  <c r="H111" i="21"/>
  <c r="H110" i="21"/>
  <c r="H109" i="21"/>
  <c r="D111" i="21"/>
  <c r="C110" i="21"/>
  <c r="I117" i="21"/>
  <c r="J118" i="21" s="1"/>
  <c r="AH117" i="21"/>
  <c r="Z117" i="21"/>
  <c r="R117" i="21"/>
  <c r="AB117" i="21"/>
  <c r="P117" i="21"/>
  <c r="AF117" i="21"/>
  <c r="V117" i="21"/>
  <c r="X117" i="21"/>
  <c r="T117" i="21"/>
  <c r="AJ117" i="21"/>
  <c r="U117" i="21"/>
  <c r="AC117" i="21"/>
  <c r="AD117" i="21"/>
  <c r="F21" i="11"/>
  <c r="F36" i="11" s="1"/>
  <c r="I26" i="1" s="1"/>
  <c r="A30" i="21"/>
  <c r="H32" i="21"/>
  <c r="D32" i="21"/>
  <c r="H31" i="21"/>
  <c r="D31" i="21"/>
  <c r="G32" i="21"/>
  <c r="C32" i="21"/>
  <c r="G31" i="21"/>
  <c r="C31" i="21"/>
  <c r="H28" i="21"/>
  <c r="D28" i="21"/>
  <c r="H27" i="21"/>
  <c r="D27" i="21"/>
  <c r="H26" i="21"/>
  <c r="D26" i="21"/>
  <c r="G28" i="21"/>
  <c r="C28" i="21"/>
  <c r="A23" i="21"/>
  <c r="H25" i="21"/>
  <c r="D25" i="21"/>
  <c r="E24" i="21"/>
  <c r="G23" i="21"/>
  <c r="C23" i="21"/>
  <c r="G25" i="21"/>
  <c r="C25" i="21"/>
  <c r="F23" i="21"/>
  <c r="F53" i="21"/>
  <c r="D53" i="21"/>
  <c r="H53" i="21"/>
  <c r="H51" i="21"/>
  <c r="G60" i="21"/>
  <c r="D59" i="21"/>
  <c r="E60" i="21"/>
  <c r="H75" i="21"/>
  <c r="C74" i="21"/>
  <c r="F75" i="21"/>
  <c r="A73" i="21"/>
  <c r="G74" i="21"/>
  <c r="I76" i="21"/>
  <c r="J77" i="21" s="1"/>
  <c r="Z76" i="21"/>
  <c r="AD76" i="21"/>
  <c r="V76" i="21"/>
  <c r="R76" i="21"/>
  <c r="AB76" i="21"/>
  <c r="F83" i="21"/>
  <c r="E98" i="21"/>
  <c r="AD116" i="21"/>
  <c r="V116" i="21"/>
  <c r="AF116" i="21"/>
  <c r="T116" i="21"/>
  <c r="I116" i="21"/>
  <c r="J117" i="21" s="1"/>
  <c r="AJ116" i="21"/>
  <c r="Z116" i="21"/>
  <c r="P116" i="21"/>
  <c r="R116" i="21"/>
  <c r="AH116" i="21"/>
  <c r="AB116" i="21"/>
  <c r="X116" i="21"/>
  <c r="G90" i="21"/>
  <c r="E90" i="21"/>
  <c r="D117" i="21"/>
  <c r="C116" i="21"/>
  <c r="H117" i="21"/>
  <c r="H116" i="21"/>
  <c r="F115" i="21"/>
  <c r="E116" i="21"/>
  <c r="F117" i="21"/>
  <c r="D126" i="21"/>
  <c r="H126" i="21"/>
  <c r="C125" i="21"/>
  <c r="H124" i="21"/>
  <c r="D124" i="21"/>
  <c r="A124" i="21"/>
  <c r="C26" i="21"/>
  <c r="G26" i="21"/>
  <c r="C27" i="21"/>
  <c r="G27" i="21"/>
  <c r="C29" i="21"/>
  <c r="G29" i="21"/>
  <c r="C33" i="21"/>
  <c r="G33" i="21"/>
  <c r="U26" i="21"/>
  <c r="AF26" i="21"/>
  <c r="H37" i="21"/>
  <c r="G40" i="21"/>
  <c r="H41" i="21"/>
  <c r="A39" i="21"/>
  <c r="G42" i="21"/>
  <c r="G44" i="21"/>
  <c r="D45" i="21"/>
  <c r="G46" i="21"/>
  <c r="F49" i="21"/>
  <c r="F51" i="21"/>
  <c r="F61" i="21"/>
  <c r="D61" i="21"/>
  <c r="H63" i="21"/>
  <c r="A61" i="21"/>
  <c r="F63" i="21"/>
  <c r="F65" i="21"/>
  <c r="F67" i="21"/>
  <c r="H73" i="21"/>
  <c r="H76" i="21"/>
  <c r="G76" i="21"/>
  <c r="H77" i="21"/>
  <c r="G78" i="21"/>
  <c r="E78" i="21"/>
  <c r="C78" i="21"/>
  <c r="F85" i="21"/>
  <c r="A83" i="21"/>
  <c r="H85" i="21"/>
  <c r="D85" i="21"/>
  <c r="F89" i="21"/>
  <c r="A87" i="21"/>
  <c r="G100" i="21"/>
  <c r="F101" i="21"/>
  <c r="G112" i="21"/>
  <c r="H112" i="21"/>
  <c r="C112" i="21"/>
  <c r="E112" i="21"/>
  <c r="Z26" i="21"/>
  <c r="R26" i="21"/>
  <c r="G38" i="21"/>
  <c r="A36" i="21"/>
  <c r="E50" i="21"/>
  <c r="C50" i="21"/>
  <c r="G52" i="21"/>
  <c r="D51" i="21"/>
  <c r="E52" i="21"/>
  <c r="G54" i="21"/>
  <c r="AJ58" i="21"/>
  <c r="V58" i="21"/>
  <c r="AH58" i="21"/>
  <c r="R58" i="21"/>
  <c r="E66" i="21"/>
  <c r="C64" i="21"/>
  <c r="C66" i="21"/>
  <c r="G68" i="21"/>
  <c r="D67" i="21"/>
  <c r="E68" i="21"/>
  <c r="G70" i="21"/>
  <c r="H74" i="21"/>
  <c r="D79" i="21"/>
  <c r="H79" i="21"/>
  <c r="F79" i="21"/>
  <c r="AH80" i="21"/>
  <c r="R80" i="21"/>
  <c r="I80" i="21"/>
  <c r="J81" i="21"/>
  <c r="V80" i="21"/>
  <c r="G88" i="21"/>
  <c r="E88" i="21"/>
  <c r="F87" i="21"/>
  <c r="E86" i="21"/>
  <c r="X98" i="21"/>
  <c r="AF98" i="21"/>
  <c r="AH98" i="21"/>
  <c r="AB98" i="21"/>
  <c r="G104" i="21"/>
  <c r="E104" i="21"/>
  <c r="F103" i="21"/>
  <c r="E102" i="21"/>
  <c r="AH106" i="21"/>
  <c r="AF106" i="21"/>
  <c r="P106" i="21"/>
  <c r="AJ106" i="21"/>
  <c r="X106" i="21"/>
  <c r="AB106" i="21"/>
  <c r="H113" i="21"/>
  <c r="F113" i="21"/>
  <c r="A111" i="21"/>
  <c r="A115" i="21"/>
  <c r="F124" i="21"/>
  <c r="F126" i="21"/>
  <c r="A47" i="21"/>
  <c r="AF46" i="21" s="1"/>
  <c r="A55" i="21"/>
  <c r="A63" i="21"/>
  <c r="A71" i="21"/>
  <c r="D81" i="21"/>
  <c r="G82" i="21"/>
  <c r="I84" i="21"/>
  <c r="J85" i="21" s="1"/>
  <c r="Z84" i="21"/>
  <c r="E94" i="21"/>
  <c r="F97" i="21"/>
  <c r="AH100" i="21"/>
  <c r="X100" i="21"/>
  <c r="H122" i="21"/>
  <c r="A120" i="21"/>
  <c r="F122" i="21"/>
  <c r="E121" i="21"/>
  <c r="F77" i="21"/>
  <c r="H83" i="21"/>
  <c r="C82" i="21"/>
  <c r="AH90" i="21"/>
  <c r="AF90" i="21"/>
  <c r="P90" i="21"/>
  <c r="G98" i="21"/>
  <c r="G110" i="21"/>
  <c r="G118" i="21"/>
  <c r="C118" i="21"/>
  <c r="H118" i="21"/>
  <c r="F119" i="21"/>
  <c r="E119" i="21"/>
  <c r="H119" i="21"/>
  <c r="C119" i="21"/>
  <c r="AD121" i="21"/>
  <c r="V121" i="21"/>
  <c r="AJ121" i="21"/>
  <c r="AH121" i="21"/>
  <c r="H131" i="21"/>
  <c r="E130" i="21"/>
  <c r="C129" i="21"/>
  <c r="G131" i="21"/>
  <c r="H130" i="21"/>
  <c r="E131" i="21"/>
  <c r="C131" i="21"/>
  <c r="D130" i="21"/>
  <c r="A129" i="21"/>
  <c r="E129" i="21"/>
  <c r="D109" i="21"/>
  <c r="E125" i="21"/>
  <c r="A126" i="21"/>
  <c r="G127" i="21"/>
  <c r="G129" i="21"/>
  <c r="G130" i="21"/>
  <c r="H132" i="21"/>
  <c r="D132" i="21"/>
  <c r="G132" i="21"/>
  <c r="C132" i="21"/>
  <c r="A130" i="21"/>
  <c r="F132" i="21"/>
  <c r="G133" i="21"/>
  <c r="D110" i="1"/>
  <c r="B10" i="9"/>
  <c r="D128" i="21"/>
  <c r="H128" i="21"/>
  <c r="G134" i="21"/>
  <c r="D134" i="21"/>
  <c r="C133" i="21"/>
  <c r="A132" i="21"/>
  <c r="H133" i="21"/>
  <c r="H134" i="21"/>
  <c r="E110" i="21"/>
  <c r="H120" i="21"/>
  <c r="E127" i="21"/>
  <c r="H8" i="16"/>
  <c r="A128" i="21"/>
  <c r="V127" i="21" s="1"/>
  <c r="C130" i="21"/>
  <c r="R130" i="21"/>
  <c r="V130" i="21"/>
  <c r="Z130" i="21"/>
  <c r="AD130" i="21"/>
  <c r="R132" i="21"/>
  <c r="Z132" i="21"/>
  <c r="AH132" i="21"/>
  <c r="I132" i="21"/>
  <c r="J133" i="21" s="1"/>
  <c r="V132" i="21"/>
  <c r="E326" i="1"/>
  <c r="AF129" i="21"/>
  <c r="P129" i="21"/>
  <c r="AB129" i="21"/>
  <c r="T129" i="21"/>
  <c r="Z129" i="21"/>
  <c r="AD129" i="21"/>
  <c r="AG129" i="21"/>
  <c r="AC129" i="21"/>
  <c r="AA129" i="21"/>
  <c r="Y128" i="21"/>
  <c r="U128" i="21"/>
  <c r="AE128" i="21"/>
  <c r="S128" i="21"/>
  <c r="AD128" i="21"/>
  <c r="T128" i="21"/>
  <c r="R128" i="21"/>
  <c r="P128" i="21"/>
  <c r="X110" i="21"/>
  <c r="T110" i="21"/>
  <c r="Y110" i="21"/>
  <c r="AC110" i="21"/>
  <c r="AC22" i="21"/>
  <c r="Z22" i="21"/>
  <c r="U22" i="21"/>
  <c r="P22" i="21"/>
  <c r="Q22" i="21"/>
  <c r="AD22" i="21"/>
  <c r="Y22" i="21"/>
  <c r="R22" i="21"/>
  <c r="AG22" i="21"/>
  <c r="V44" i="21"/>
  <c r="AD44" i="21"/>
  <c r="I44" i="21"/>
  <c r="J45" i="21" s="1"/>
  <c r="W44" i="21"/>
  <c r="AA44" i="21"/>
  <c r="AB44" i="21"/>
  <c r="R44" i="21"/>
  <c r="P44" i="21"/>
  <c r="Q44" i="21"/>
  <c r="S35" i="21"/>
  <c r="Z35" i="21"/>
  <c r="AB35" i="21"/>
  <c r="Y35" i="21"/>
  <c r="Q35" i="21"/>
  <c r="U35" i="21"/>
  <c r="AD35" i="21"/>
  <c r="AG35" i="21"/>
  <c r="R35" i="21"/>
  <c r="AC35" i="21"/>
  <c r="AH35" i="21"/>
  <c r="W35" i="21"/>
  <c r="AA35" i="21"/>
  <c r="AF35" i="21"/>
  <c r="AJ35" i="21"/>
  <c r="AE35" i="21"/>
  <c r="I35" i="21"/>
  <c r="J36" i="21" s="1"/>
  <c r="V35" i="21"/>
  <c r="P35" i="21"/>
  <c r="T35" i="21"/>
  <c r="X35" i="21"/>
  <c r="AI35" i="21"/>
  <c r="AD29" i="21"/>
  <c r="Y29" i="21"/>
  <c r="U29" i="21"/>
  <c r="S29" i="21"/>
  <c r="O29" i="21"/>
  <c r="AB29" i="21"/>
  <c r="AA29" i="21"/>
  <c r="AJ29" i="21"/>
  <c r="AC29" i="21"/>
  <c r="R29" i="21"/>
  <c r="AH29" i="21"/>
  <c r="AF29" i="21"/>
  <c r="B32" i="8"/>
  <c r="Z52" i="21"/>
  <c r="AJ52" i="21"/>
  <c r="V52" i="21"/>
  <c r="T52" i="21"/>
  <c r="AH52" i="21"/>
  <c r="P52" i="21"/>
  <c r="I52" i="21"/>
  <c r="J53" i="21" s="1"/>
  <c r="AE52" i="21"/>
  <c r="W52" i="21"/>
  <c r="R52" i="21"/>
  <c r="AB52" i="21"/>
  <c r="AI52" i="21"/>
  <c r="AA52" i="21"/>
  <c r="S52" i="21"/>
  <c r="AG52" i="21"/>
  <c r="Q52" i="21"/>
  <c r="X52" i="21"/>
  <c r="AC52" i="21"/>
  <c r="AD52" i="21"/>
  <c r="Y52" i="21"/>
  <c r="AF52" i="21"/>
  <c r="U52" i="21"/>
  <c r="Y33" i="21"/>
  <c r="Z33" i="21"/>
  <c r="T33" i="21"/>
  <c r="I33" i="21"/>
  <c r="J34" i="21" s="1"/>
  <c r="AA33" i="21"/>
  <c r="X33" i="21"/>
  <c r="AJ55" i="21"/>
  <c r="AB55" i="21"/>
  <c r="T55" i="21"/>
  <c r="U55" i="21"/>
  <c r="AA55" i="21"/>
  <c r="AH55" i="21"/>
  <c r="Z55" i="21"/>
  <c r="AG55" i="21"/>
  <c r="W55" i="21"/>
  <c r="R55" i="21"/>
  <c r="Q55" i="21"/>
  <c r="AD55" i="21"/>
  <c r="I55" i="21"/>
  <c r="J56" i="21" s="1"/>
  <c r="Y55" i="21"/>
  <c r="AF55" i="21"/>
  <c r="X55" i="21"/>
  <c r="P55" i="21"/>
  <c r="AC55" i="21"/>
  <c r="AI55" i="21"/>
  <c r="S55" i="21"/>
  <c r="V55" i="21"/>
  <c r="AE55" i="21"/>
  <c r="AF131" i="21"/>
  <c r="AA131" i="21"/>
  <c r="W131" i="21"/>
  <c r="S131" i="21"/>
  <c r="I131" i="21"/>
  <c r="J132" i="21" s="1"/>
  <c r="AD131" i="21"/>
  <c r="Z131" i="21"/>
  <c r="V131" i="21"/>
  <c r="R131" i="21"/>
  <c r="AJ131" i="21"/>
  <c r="AC131" i="21"/>
  <c r="Y131" i="21"/>
  <c r="U131" i="21"/>
  <c r="Q131" i="21"/>
  <c r="AH131" i="21"/>
  <c r="P131" i="21"/>
  <c r="AB131" i="21"/>
  <c r="X131" i="21"/>
  <c r="T131" i="21"/>
  <c r="AE131" i="21"/>
  <c r="AG131" i="21"/>
  <c r="AI131" i="21"/>
  <c r="AH119" i="21"/>
  <c r="Z119" i="21"/>
  <c r="R119" i="21"/>
  <c r="AF119" i="21"/>
  <c r="V119" i="21"/>
  <c r="I119" i="21"/>
  <c r="J120" i="21" s="1"/>
  <c r="AB119" i="21"/>
  <c r="P119" i="21"/>
  <c r="AD119" i="21"/>
  <c r="X119" i="21"/>
  <c r="T119" i="21"/>
  <c r="Q119" i="21"/>
  <c r="Y119" i="21"/>
  <c r="AG119" i="21"/>
  <c r="AJ119" i="21"/>
  <c r="U119" i="21"/>
  <c r="AE119" i="21"/>
  <c r="AA119" i="21"/>
  <c r="S119" i="21"/>
  <c r="W119" i="21"/>
  <c r="AC119" i="21"/>
  <c r="AI119" i="21"/>
  <c r="Z62" i="21"/>
  <c r="V62" i="21"/>
  <c r="Y62" i="21"/>
  <c r="T62" i="21"/>
  <c r="S62" i="21"/>
  <c r="W62" i="21"/>
  <c r="Z38" i="21"/>
  <c r="AJ38" i="21"/>
  <c r="AH38" i="21"/>
  <c r="P38" i="21"/>
  <c r="AF38" i="21"/>
  <c r="AD38" i="21"/>
  <c r="AB38" i="21"/>
  <c r="AC38" i="21"/>
  <c r="U38" i="21"/>
  <c r="R38" i="21"/>
  <c r="T38" i="21"/>
  <c r="AG38" i="21"/>
  <c r="Y38" i="21"/>
  <c r="Q38" i="21"/>
  <c r="X38" i="21"/>
  <c r="AE38" i="21"/>
  <c r="AA38" i="21"/>
  <c r="W38" i="21"/>
  <c r="V38" i="21"/>
  <c r="S38" i="21"/>
  <c r="AI38" i="21"/>
  <c r="I38" i="21"/>
  <c r="J39" i="21"/>
  <c r="Z68" i="21"/>
  <c r="AJ68" i="21"/>
  <c r="V68" i="21"/>
  <c r="T68" i="21"/>
  <c r="AH68" i="21"/>
  <c r="R68" i="21"/>
  <c r="P68" i="21"/>
  <c r="AB68" i="21"/>
  <c r="AI68" i="21"/>
  <c r="AA68" i="21"/>
  <c r="S68" i="21"/>
  <c r="X68" i="21"/>
  <c r="Y68" i="21"/>
  <c r="AD68" i="21"/>
  <c r="AF68" i="21"/>
  <c r="AG68" i="21"/>
  <c r="W68" i="21"/>
  <c r="I68" i="21"/>
  <c r="J69" i="21" s="1"/>
  <c r="Q68" i="21"/>
  <c r="AE68" i="21"/>
  <c r="AC68" i="21"/>
  <c r="U68" i="21"/>
  <c r="AB27" i="21"/>
  <c r="AD27" i="21"/>
  <c r="U27" i="21"/>
  <c r="AG27" i="21"/>
  <c r="AH27" i="21"/>
  <c r="AJ27" i="21"/>
  <c r="X27" i="21"/>
  <c r="AE27" i="21"/>
  <c r="V27" i="21"/>
  <c r="AA27" i="21"/>
  <c r="W27" i="21"/>
  <c r="Q27" i="21"/>
  <c r="V125" i="21"/>
  <c r="Z125" i="21"/>
  <c r="AH125" i="21"/>
  <c r="R125" i="21"/>
  <c r="P125" i="21"/>
  <c r="AF125" i="21"/>
  <c r="X125" i="21"/>
  <c r="AB125" i="21"/>
  <c r="I125" i="21"/>
  <c r="J126" i="21" s="1"/>
  <c r="AE125" i="21"/>
  <c r="W125" i="21"/>
  <c r="AC125" i="21"/>
  <c r="U125" i="21"/>
  <c r="AA125" i="21"/>
  <c r="Y125" i="21"/>
  <c r="AG125" i="21"/>
  <c r="T125" i="21"/>
  <c r="AI125" i="21"/>
  <c r="S125" i="21"/>
  <c r="Q125" i="21"/>
  <c r="P46" i="21"/>
  <c r="AD46" i="21"/>
  <c r="AG46" i="21"/>
  <c r="S46" i="21"/>
  <c r="AA46" i="21"/>
  <c r="AB46" i="21"/>
  <c r="V108" i="21"/>
  <c r="R108" i="21"/>
  <c r="X108" i="21"/>
  <c r="T108" i="21"/>
  <c r="P108" i="21"/>
  <c r="AJ108" i="21"/>
  <c r="Y108" i="21"/>
  <c r="S108" i="21"/>
  <c r="AI108" i="21"/>
  <c r="W108" i="21"/>
  <c r="AE108" i="21"/>
  <c r="AD70" i="21"/>
  <c r="Z70" i="21"/>
  <c r="P70" i="21"/>
  <c r="AF70" i="21"/>
  <c r="AH70" i="21"/>
  <c r="AJ70" i="21"/>
  <c r="T70" i="21"/>
  <c r="V70" i="21"/>
  <c r="AB70" i="21"/>
  <c r="AG70" i="21"/>
  <c r="Y70" i="21"/>
  <c r="Q70" i="21"/>
  <c r="AI70" i="21"/>
  <c r="W70" i="21"/>
  <c r="R70" i="21"/>
  <c r="AE70" i="21"/>
  <c r="U70" i="21"/>
  <c r="X70" i="21"/>
  <c r="AC70" i="21"/>
  <c r="I70" i="21"/>
  <c r="J71" i="21" s="1"/>
  <c r="S70" i="21"/>
  <c r="AA70" i="21"/>
  <c r="Z127" i="21"/>
  <c r="P127" i="21"/>
  <c r="T127" i="21"/>
  <c r="Y127" i="21"/>
  <c r="Q127" i="21"/>
  <c r="AD54" i="21"/>
  <c r="Z54" i="21"/>
  <c r="P54" i="21"/>
  <c r="AF54" i="21"/>
  <c r="AH54" i="21"/>
  <c r="V54" i="21"/>
  <c r="T54" i="21"/>
  <c r="AC54" i="21"/>
  <c r="U54" i="21"/>
  <c r="AJ54" i="21"/>
  <c r="AB54" i="21"/>
  <c r="AG54" i="21"/>
  <c r="Y54" i="21"/>
  <c r="Q54" i="21"/>
  <c r="AA54" i="21"/>
  <c r="I54" i="21"/>
  <c r="J55" i="21" s="1"/>
  <c r="W54" i="21"/>
  <c r="R54" i="21"/>
  <c r="S54" i="21"/>
  <c r="X54" i="21"/>
  <c r="AI54" i="21"/>
  <c r="AE54" i="21"/>
  <c r="AJ114" i="21"/>
  <c r="AB114" i="21"/>
  <c r="T114" i="21"/>
  <c r="I114" i="21"/>
  <c r="J115" i="21" s="1"/>
  <c r="AD114" i="21"/>
  <c r="R114" i="21"/>
  <c r="AH114" i="21"/>
  <c r="X114" i="21"/>
  <c r="AF114" i="21"/>
  <c r="Z114" i="21"/>
  <c r="V114" i="21"/>
  <c r="P114" i="21"/>
  <c r="Q114" i="21"/>
  <c r="Y114" i="21"/>
  <c r="AG114" i="21"/>
  <c r="S114" i="21"/>
  <c r="AA114" i="21"/>
  <c r="AI114" i="21"/>
  <c r="U114" i="21"/>
  <c r="W114" i="21"/>
  <c r="AC114" i="21"/>
  <c r="AE114" i="21"/>
  <c r="AB86" i="21"/>
  <c r="T86" i="21"/>
  <c r="AJ86" i="21"/>
  <c r="P86" i="21"/>
  <c r="X86" i="21"/>
  <c r="AH86" i="21"/>
  <c r="AF86" i="21"/>
  <c r="V86" i="21"/>
  <c r="AC86" i="21"/>
  <c r="U86" i="21"/>
  <c r="Z86" i="21"/>
  <c r="AI86" i="21"/>
  <c r="AA86" i="21"/>
  <c r="S86" i="21"/>
  <c r="AG86" i="21"/>
  <c r="Q86" i="21"/>
  <c r="R86" i="21"/>
  <c r="AE86" i="21"/>
  <c r="AD86" i="21"/>
  <c r="Y86" i="21"/>
  <c r="I86" i="21"/>
  <c r="J87" i="21" s="1"/>
  <c r="W86" i="21"/>
  <c r="AD82" i="21"/>
  <c r="Z82" i="21"/>
  <c r="V82" i="21"/>
  <c r="I82" i="21"/>
  <c r="J83" i="21" s="1"/>
  <c r="AH82" i="21"/>
  <c r="T82" i="21"/>
  <c r="AJ82" i="21"/>
  <c r="R82" i="21"/>
  <c r="X82" i="21"/>
  <c r="AF82" i="21"/>
  <c r="W82" i="21"/>
  <c r="AE82" i="21"/>
  <c r="P82" i="21"/>
  <c r="Q82" i="21"/>
  <c r="Y82" i="21"/>
  <c r="AG82" i="21"/>
  <c r="S82" i="21"/>
  <c r="AI82" i="21"/>
  <c r="U82" i="21"/>
  <c r="AC82" i="21"/>
  <c r="AB82" i="21"/>
  <c r="AA82" i="21"/>
  <c r="Z60" i="21"/>
  <c r="AJ60" i="21"/>
  <c r="V60" i="21"/>
  <c r="AD60" i="21"/>
  <c r="T60" i="21"/>
  <c r="R60" i="21"/>
  <c r="AF60" i="21"/>
  <c r="I60" i="21"/>
  <c r="J61" i="21" s="1"/>
  <c r="AE60" i="21"/>
  <c r="W60" i="21"/>
  <c r="X60" i="21"/>
  <c r="AI60" i="21"/>
  <c r="AA60" i="21"/>
  <c r="S60" i="21"/>
  <c r="U60" i="21"/>
  <c r="AG60" i="21"/>
  <c r="Q60" i="21"/>
  <c r="Y60" i="21"/>
  <c r="P60" i="21"/>
  <c r="AC60" i="21"/>
  <c r="AB60" i="21"/>
  <c r="AH60" i="21"/>
  <c r="AH123" i="21"/>
  <c r="R123" i="21"/>
  <c r="Z123" i="21"/>
  <c r="AJ123" i="21"/>
  <c r="V123" i="21"/>
  <c r="T123" i="21"/>
  <c r="AD123" i="21"/>
  <c r="X123" i="21"/>
  <c r="AF123" i="21"/>
  <c r="AG123" i="21"/>
  <c r="Y123" i="21"/>
  <c r="Q123" i="21"/>
  <c r="P123" i="21"/>
  <c r="I123" i="21"/>
  <c r="J124" i="21"/>
  <c r="AE123" i="21"/>
  <c r="W123" i="21"/>
  <c r="AA123" i="21"/>
  <c r="AB123" i="21"/>
  <c r="U123" i="21"/>
  <c r="AC123" i="21"/>
  <c r="AI123" i="21"/>
  <c r="S123" i="21"/>
  <c r="AH72" i="21"/>
  <c r="R72" i="21"/>
  <c r="AD72" i="21"/>
  <c r="Z72" i="21"/>
  <c r="AB72" i="21"/>
  <c r="V72" i="21"/>
  <c r="I72" i="21"/>
  <c r="J73" i="21"/>
  <c r="T72" i="21"/>
  <c r="AF72" i="21"/>
  <c r="U72" i="21"/>
  <c r="AC72" i="21"/>
  <c r="X72" i="21"/>
  <c r="Q72" i="21"/>
  <c r="AA72" i="21"/>
  <c r="AJ72" i="21"/>
  <c r="S72" i="21"/>
  <c r="AE72" i="21"/>
  <c r="Y72" i="21"/>
  <c r="AG72" i="21"/>
  <c r="W72" i="21"/>
  <c r="P72" i="21"/>
  <c r="AI72" i="21"/>
  <c r="D14" i="21"/>
  <c r="F14" i="21"/>
  <c r="F15" i="21" s="1"/>
  <c r="P96" i="21"/>
  <c r="AH96" i="21"/>
  <c r="X96" i="21"/>
  <c r="AJ96" i="21"/>
  <c r="AF96" i="21"/>
  <c r="T96" i="21"/>
  <c r="Z96" i="21"/>
  <c r="AI96" i="21"/>
  <c r="AA96" i="21"/>
  <c r="S96" i="21"/>
  <c r="AB96" i="21"/>
  <c r="AD96" i="21"/>
  <c r="AG96" i="21"/>
  <c r="Y96" i="21"/>
  <c r="Q96" i="21"/>
  <c r="R96" i="21"/>
  <c r="AC96" i="21"/>
  <c r="I96" i="21"/>
  <c r="J97" i="21"/>
  <c r="W96" i="21"/>
  <c r="V96" i="21"/>
  <c r="U96" i="21"/>
  <c r="AE96" i="21"/>
  <c r="C37" i="8"/>
  <c r="C29" i="8"/>
  <c r="C17" i="8"/>
  <c r="C13" i="8"/>
  <c r="C39" i="8"/>
  <c r="C28" i="8"/>
  <c r="C8" i="8"/>
  <c r="C4" i="8"/>
  <c r="C7" i="8"/>
  <c r="C38" i="8"/>
  <c r="C19" i="8"/>
  <c r="C11" i="8"/>
  <c r="C6" i="8"/>
  <c r="C18" i="8"/>
  <c r="C34" i="8"/>
  <c r="C26" i="8"/>
  <c r="B31" i="8"/>
  <c r="C31" i="8" s="1"/>
  <c r="B40" i="8"/>
  <c r="C40" i="8" s="1"/>
  <c r="C14" i="21"/>
  <c r="G14" i="21" s="1"/>
  <c r="F26" i="1" l="1"/>
  <c r="C175" i="1"/>
  <c r="K254" i="1"/>
  <c r="I254" i="1"/>
  <c r="C168" i="1"/>
  <c r="I160" i="1"/>
  <c r="C167" i="1" s="1"/>
  <c r="F16" i="21"/>
  <c r="D16" i="21"/>
  <c r="C16" i="21" s="1"/>
  <c r="G16" i="21" s="1"/>
  <c r="D20" i="8"/>
  <c r="E22" i="8"/>
  <c r="F32" i="8"/>
  <c r="G32" i="8" s="1"/>
  <c r="G36" i="8"/>
  <c r="G10" i="9"/>
  <c r="F17" i="9"/>
  <c r="S33" i="21"/>
  <c r="O33" i="21"/>
  <c r="AE33" i="21"/>
  <c r="AG33" i="21"/>
  <c r="U33" i="21"/>
  <c r="AD33" i="21"/>
  <c r="Q33" i="21"/>
  <c r="W33" i="21"/>
  <c r="P33" i="21"/>
  <c r="R33" i="21"/>
  <c r="AH33" i="21"/>
  <c r="X120" i="21"/>
  <c r="AD120" i="21"/>
  <c r="AA120" i="21"/>
  <c r="V120" i="21"/>
  <c r="U120" i="21"/>
  <c r="AB93" i="21"/>
  <c r="AE93" i="21"/>
  <c r="U93" i="21"/>
  <c r="V93" i="21"/>
  <c r="S93" i="21"/>
  <c r="T93" i="21"/>
  <c r="AI93" i="21"/>
  <c r="AJ93" i="21"/>
  <c r="I93" i="21"/>
  <c r="J94" i="21" s="1"/>
  <c r="C30" i="8"/>
  <c r="C15" i="8"/>
  <c r="C21" i="8"/>
  <c r="AC33" i="21"/>
  <c r="V33" i="21"/>
  <c r="AB33" i="21"/>
  <c r="B17" i="9"/>
  <c r="D113" i="1"/>
  <c r="I129" i="21"/>
  <c r="J130" i="21" s="1"/>
  <c r="R129" i="21"/>
  <c r="V129" i="21"/>
  <c r="Q129" i="21"/>
  <c r="S129" i="21"/>
  <c r="X129" i="21"/>
  <c r="AH129" i="21"/>
  <c r="W129" i="21"/>
  <c r="Y129" i="21"/>
  <c r="AI129" i="21"/>
  <c r="AJ125" i="21"/>
  <c r="AD125" i="21"/>
  <c r="AG128" i="21"/>
  <c r="Q128" i="21"/>
  <c r="AA128" i="21"/>
  <c r="V128" i="21"/>
  <c r="AH128" i="21"/>
  <c r="AF128" i="21"/>
  <c r="AC128" i="21"/>
  <c r="I128" i="21"/>
  <c r="J129" i="21" s="1"/>
  <c r="W128" i="21"/>
  <c r="AJ128" i="21"/>
  <c r="Z128" i="21"/>
  <c r="X128" i="21"/>
  <c r="Z29" i="21"/>
  <c r="AG29" i="21"/>
  <c r="P29" i="21"/>
  <c r="W29" i="21"/>
  <c r="AE29" i="21"/>
  <c r="V29" i="21"/>
  <c r="AI29" i="21"/>
  <c r="Q29" i="21"/>
  <c r="X29" i="21"/>
  <c r="T29" i="21"/>
  <c r="I29" i="21"/>
  <c r="J30" i="21" s="1"/>
  <c r="C36" i="8"/>
  <c r="Y93" i="21"/>
  <c r="AG109" i="21"/>
  <c r="S109" i="21"/>
  <c r="I109" i="21"/>
  <c r="J110" i="21" s="1"/>
  <c r="AJ109" i="21"/>
  <c r="U109" i="21"/>
  <c r="V109" i="21"/>
  <c r="AB109" i="21"/>
  <c r="AH109" i="21"/>
  <c r="Q109" i="21"/>
  <c r="AE109" i="21"/>
  <c r="T109" i="21"/>
  <c r="Z109" i="21"/>
  <c r="AD109" i="21"/>
  <c r="G55" i="9"/>
  <c r="G52" i="9"/>
  <c r="G50" i="9"/>
  <c r="G46" i="9"/>
  <c r="G43" i="9"/>
  <c r="G41" i="9"/>
  <c r="G32" i="9"/>
  <c r="G24" i="9"/>
  <c r="G15" i="9"/>
  <c r="G12" i="9"/>
  <c r="G6" i="9"/>
  <c r="G3" i="9"/>
  <c r="G40" i="9"/>
  <c r="G37" i="9"/>
  <c r="G34" i="9"/>
  <c r="G31" i="9"/>
  <c r="G29" i="9"/>
  <c r="G26" i="9"/>
  <c r="G21" i="9"/>
  <c r="G18" i="9"/>
  <c r="G14" i="9"/>
  <c r="G11" i="9"/>
  <c r="G8" i="9"/>
  <c r="G26" i="1"/>
  <c r="F107" i="1"/>
  <c r="G54" i="9"/>
  <c r="G51" i="9"/>
  <c r="G47" i="9"/>
  <c r="G45" i="9"/>
  <c r="G39" i="9"/>
  <c r="G20" i="9"/>
  <c r="G7" i="9"/>
  <c r="G5" i="9"/>
  <c r="I3" i="9"/>
  <c r="I4" i="9" s="1"/>
  <c r="G35" i="9"/>
  <c r="G25" i="9"/>
  <c r="G13" i="9"/>
  <c r="G44" i="9"/>
  <c r="G33" i="9"/>
  <c r="G22" i="9"/>
  <c r="G53" i="9"/>
  <c r="G30" i="9"/>
  <c r="G27" i="9"/>
  <c r="G16" i="9"/>
  <c r="G4" i="9"/>
  <c r="F113" i="1"/>
  <c r="AF103" i="21"/>
  <c r="X103" i="21"/>
  <c r="P103" i="21"/>
  <c r="W103" i="21"/>
  <c r="AC103" i="21"/>
  <c r="AD103" i="21"/>
  <c r="V103" i="21"/>
  <c r="AI103" i="21"/>
  <c r="S103" i="21"/>
  <c r="Y103" i="21"/>
  <c r="Z103" i="21"/>
  <c r="AA103" i="21"/>
  <c r="Q103" i="21"/>
  <c r="AJ103" i="21"/>
  <c r="T103" i="21"/>
  <c r="I103" i="21"/>
  <c r="J104" i="21" s="1"/>
  <c r="AH103" i="21"/>
  <c r="R103" i="21"/>
  <c r="AG103" i="21"/>
  <c r="D15" i="21"/>
  <c r="C15" i="21" s="1"/>
  <c r="C20" i="8"/>
  <c r="C35" i="8"/>
  <c r="C27" i="8"/>
  <c r="C12" i="8"/>
  <c r="C5" i="8"/>
  <c r="C14" i="8"/>
  <c r="C10" i="8"/>
  <c r="C3" i="8"/>
  <c r="C33" i="8"/>
  <c r="C23" i="8"/>
  <c r="C24" i="8"/>
  <c r="C9" i="8"/>
  <c r="AJ33" i="21"/>
  <c r="AF33" i="21"/>
  <c r="AI33" i="21"/>
  <c r="C32" i="8"/>
  <c r="AB128" i="21"/>
  <c r="AI128" i="21"/>
  <c r="U129" i="21"/>
  <c r="AE129" i="21"/>
  <c r="AJ129" i="21"/>
  <c r="AD62" i="21"/>
  <c r="AF62" i="21"/>
  <c r="U62" i="21"/>
  <c r="X62" i="21"/>
  <c r="AB62" i="21"/>
  <c r="O27" i="21"/>
  <c r="R27" i="21"/>
  <c r="AI27" i="21"/>
  <c r="AF27" i="21"/>
  <c r="Z27" i="21"/>
  <c r="S27" i="21"/>
  <c r="Y27" i="21"/>
  <c r="AC27" i="21"/>
  <c r="T27" i="21"/>
  <c r="P27" i="21"/>
  <c r="I27" i="21"/>
  <c r="J28" i="21" s="1"/>
  <c r="AC109" i="21"/>
  <c r="AD93" i="21"/>
  <c r="AB103" i="21"/>
  <c r="V95" i="21"/>
  <c r="AF95" i="21"/>
  <c r="AG95" i="21"/>
  <c r="X95" i="21"/>
  <c r="Q95" i="21"/>
  <c r="AC111" i="21"/>
  <c r="AH111" i="21"/>
  <c r="I105" i="21"/>
  <c r="J106" i="21" s="1"/>
  <c r="T105" i="21"/>
  <c r="W26" i="21"/>
  <c r="AG26" i="21"/>
  <c r="D38" i="21"/>
  <c r="E37" i="21"/>
  <c r="C37" i="21"/>
  <c r="F36" i="21"/>
  <c r="F38" i="21"/>
  <c r="U40" i="21"/>
  <c r="Q40" i="21"/>
  <c r="AG40" i="21"/>
  <c r="AC40" i="21"/>
  <c r="E43" i="21"/>
  <c r="H44" i="21"/>
  <c r="C43" i="21"/>
  <c r="F44" i="21"/>
  <c r="E45" i="21"/>
  <c r="C45" i="21"/>
  <c r="G43" i="21"/>
  <c r="X90" i="21"/>
  <c r="T90" i="21"/>
  <c r="R90" i="21"/>
  <c r="V90" i="21"/>
  <c r="AD90" i="21"/>
  <c r="AI90" i="21"/>
  <c r="AA90" i="21"/>
  <c r="S90" i="21"/>
  <c r="AG90" i="21"/>
  <c r="Y90" i="21"/>
  <c r="Q90" i="21"/>
  <c r="H97" i="21"/>
  <c r="C98" i="21"/>
  <c r="H99" i="21"/>
  <c r="H98" i="21"/>
  <c r="E97" i="21"/>
  <c r="F98" i="21"/>
  <c r="C97" i="21"/>
  <c r="G99" i="21"/>
  <c r="F105" i="21"/>
  <c r="C104" i="21"/>
  <c r="D104" i="21"/>
  <c r="G105" i="21"/>
  <c r="D105" i="21"/>
  <c r="H106" i="21"/>
  <c r="E105" i="21"/>
  <c r="H105" i="21"/>
  <c r="AC99" i="21"/>
  <c r="AI99" i="21"/>
  <c r="AF87" i="21"/>
  <c r="X87" i="21"/>
  <c r="P87" i="21"/>
  <c r="W87" i="21"/>
  <c r="AG87" i="21"/>
  <c r="Q87" i="21"/>
  <c r="AD87" i="21"/>
  <c r="V87" i="21"/>
  <c r="AI87" i="21"/>
  <c r="S87" i="21"/>
  <c r="AC87" i="21"/>
  <c r="E5" i="16"/>
  <c r="F5" i="16" s="1"/>
  <c r="C5" i="16"/>
  <c r="E9" i="16" s="1"/>
  <c r="D9" i="16" s="1"/>
  <c r="H9" i="16" s="1"/>
  <c r="H3" i="8"/>
  <c r="D95" i="21"/>
  <c r="H95" i="21"/>
  <c r="P100" i="21"/>
  <c r="AF100" i="21"/>
  <c r="T100" i="21"/>
  <c r="G9" i="16"/>
  <c r="G10" i="16" s="1"/>
  <c r="F19" i="16"/>
  <c r="E321" i="1"/>
  <c r="F321" i="1" s="1"/>
  <c r="G321" i="1" s="1"/>
  <c r="H321" i="1" s="1"/>
  <c r="I321" i="1" s="1"/>
  <c r="J321" i="1" s="1"/>
  <c r="E110" i="1"/>
  <c r="A123" i="21"/>
  <c r="D125" i="21"/>
  <c r="F123" i="21"/>
  <c r="G103" i="21"/>
  <c r="C101" i="21"/>
  <c r="F102" i="21"/>
  <c r="U100" i="21"/>
  <c r="AC100" i="21"/>
  <c r="I100" i="21"/>
  <c r="J101" i="21" s="1"/>
  <c r="E95" i="21"/>
  <c r="H96" i="21"/>
  <c r="D94" i="21"/>
  <c r="S92" i="21"/>
  <c r="AI92" i="21"/>
  <c r="AD100" i="21"/>
  <c r="C94" i="21"/>
  <c r="F40" i="8"/>
  <c r="G40" i="8" s="1"/>
  <c r="F31" i="8"/>
  <c r="G31" i="8" s="1"/>
  <c r="A89" i="21"/>
  <c r="D91" i="21"/>
  <c r="D89" i="21"/>
  <c r="H91" i="21"/>
  <c r="AJ98" i="21"/>
  <c r="P98" i="21"/>
  <c r="T98" i="21"/>
  <c r="Z98" i="21"/>
  <c r="T121" i="21"/>
  <c r="X121" i="21"/>
  <c r="AB121" i="21"/>
  <c r="D166" i="1"/>
  <c r="G166" i="1"/>
  <c r="E166" i="1"/>
  <c r="J181" i="1"/>
  <c r="D181" i="1" s="1"/>
  <c r="D115" i="1"/>
  <c r="E3" i="16"/>
  <c r="C124" i="21"/>
  <c r="F125" i="21"/>
  <c r="H123" i="21"/>
  <c r="E101" i="21"/>
  <c r="H102" i="21"/>
  <c r="W100" i="21"/>
  <c r="AE100" i="21"/>
  <c r="G95" i="21"/>
  <c r="F94" i="21"/>
  <c r="Y92" i="21"/>
  <c r="C102" i="21"/>
  <c r="Z100" i="21"/>
  <c r="E36" i="11"/>
  <c r="H150" i="1"/>
  <c r="E175" i="1" s="1"/>
  <c r="G175" i="1" s="1"/>
  <c r="H47" i="21"/>
  <c r="G48" i="21"/>
  <c r="F46" i="21"/>
  <c r="G47" i="21"/>
  <c r="D46" i="21"/>
  <c r="H48" i="21"/>
  <c r="E47" i="21"/>
  <c r="F48" i="21"/>
  <c r="C47" i="21"/>
  <c r="H52" i="21"/>
  <c r="A50" i="21"/>
  <c r="H50" i="21"/>
  <c r="D52" i="21"/>
  <c r="F50" i="21"/>
  <c r="G51" i="21"/>
  <c r="E55" i="21"/>
  <c r="F54" i="21"/>
  <c r="A54" i="21"/>
  <c r="AG58" i="21"/>
  <c r="Y58" i="21"/>
  <c r="Q58" i="21"/>
  <c r="AE58" i="21"/>
  <c r="W58" i="21"/>
  <c r="X58" i="21"/>
  <c r="I58" i="21"/>
  <c r="J59" i="21" s="1"/>
  <c r="AC58" i="21"/>
  <c r="U58" i="21"/>
  <c r="D62" i="21"/>
  <c r="E63" i="21"/>
  <c r="G61" i="21"/>
  <c r="C61" i="21"/>
  <c r="H64" i="21"/>
  <c r="D66" i="21"/>
  <c r="A64" i="21"/>
  <c r="F64" i="21"/>
  <c r="G65" i="21"/>
  <c r="D64" i="21"/>
  <c r="H66" i="21"/>
  <c r="E65" i="21"/>
  <c r="F68" i="21"/>
  <c r="G69" i="21"/>
  <c r="D68" i="21"/>
  <c r="E69" i="21"/>
  <c r="H70" i="21"/>
  <c r="C69" i="21"/>
  <c r="E74" i="21"/>
  <c r="H72" i="21"/>
  <c r="A72" i="21"/>
  <c r="D74" i="21"/>
  <c r="F72" i="21"/>
  <c r="C73" i="21"/>
  <c r="F74" i="21"/>
  <c r="D72" i="21"/>
  <c r="E73" i="21"/>
  <c r="E77" i="21"/>
  <c r="D76" i="21"/>
  <c r="G77" i="21"/>
  <c r="A82" i="21"/>
  <c r="D84" i="21"/>
  <c r="C83" i="21"/>
  <c r="F84" i="21"/>
  <c r="C86" i="21"/>
  <c r="D87" i="21"/>
  <c r="AH112" i="21"/>
  <c r="I112" i="21"/>
  <c r="J113" i="21" s="1"/>
  <c r="AB112" i="21"/>
  <c r="T112" i="21"/>
  <c r="AJ112" i="21"/>
  <c r="C123" i="21"/>
  <c r="E32" i="8"/>
  <c r="I20" i="8"/>
  <c r="H31" i="8"/>
  <c r="I31" i="8" s="1"/>
  <c r="F19" i="11"/>
  <c r="G19" i="11"/>
  <c r="F31" i="21"/>
  <c r="E38" i="21"/>
  <c r="C42" i="21"/>
  <c r="E46" i="21"/>
  <c r="H49" i="21"/>
  <c r="C60" i="21"/>
  <c r="F81" i="21"/>
  <c r="G94" i="21"/>
  <c r="J254" i="1"/>
  <c r="D3" i="9"/>
  <c r="E23" i="9" s="1"/>
  <c r="D38" i="9"/>
  <c r="D322" i="1"/>
  <c r="F34" i="21"/>
  <c r="G50" i="21"/>
  <c r="B49" i="9"/>
  <c r="D49" i="9"/>
  <c r="E26" i="1"/>
  <c r="F49" i="9"/>
  <c r="F38" i="9"/>
  <c r="C44" i="21"/>
  <c r="D77" i="21"/>
  <c r="F128" i="21"/>
  <c r="E132" i="21"/>
  <c r="B38" i="9"/>
  <c r="D114" i="1" s="1"/>
  <c r="D10" i="9"/>
  <c r="L254" i="1"/>
  <c r="D17" i="21"/>
  <c r="C17" i="21" s="1"/>
  <c r="G17" i="21" s="1"/>
  <c r="F17" i="21"/>
  <c r="AC12" i="21"/>
  <c r="A14" i="21"/>
  <c r="X12" i="21" s="1"/>
  <c r="AH11" i="21"/>
  <c r="T11" i="21"/>
  <c r="I110" i="21"/>
  <c r="J111" i="21" s="1"/>
  <c r="AJ110" i="21"/>
  <c r="AH110" i="21"/>
  <c r="Q110" i="21"/>
  <c r="AA110" i="21"/>
  <c r="U110" i="21"/>
  <c r="AB22" i="21"/>
  <c r="W22" i="21"/>
  <c r="O22" i="21"/>
  <c r="V22" i="21"/>
  <c r="AF22" i="21"/>
  <c r="AH44" i="21"/>
  <c r="AF44" i="21"/>
  <c r="X44" i="21"/>
  <c r="AG12" i="21"/>
  <c r="AF11" i="21"/>
  <c r="Z11" i="21"/>
  <c r="S11" i="21"/>
  <c r="Y11" i="21"/>
  <c r="AC11" i="21"/>
  <c r="AI127" i="21"/>
  <c r="AJ127" i="21"/>
  <c r="AC127" i="21"/>
  <c r="X127" i="21"/>
  <c r="I127" i="21"/>
  <c r="J128" i="21" s="1"/>
  <c r="U108" i="21"/>
  <c r="AG108" i="21"/>
  <c r="AF108" i="21"/>
  <c r="Z108" i="21"/>
  <c r="AB108" i="21"/>
  <c r="V46" i="21"/>
  <c r="AI46" i="21"/>
  <c r="X46" i="21"/>
  <c r="AH46" i="21"/>
  <c r="R46" i="21"/>
  <c r="AA62" i="21"/>
  <c r="AC62" i="21"/>
  <c r="AH62" i="21"/>
  <c r="Q62" i="21"/>
  <c r="R62" i="21"/>
  <c r="AJ62" i="21"/>
  <c r="U44" i="21"/>
  <c r="Y44" i="21"/>
  <c r="S44" i="21"/>
  <c r="AE44" i="21"/>
  <c r="T44" i="21"/>
  <c r="AE22" i="21"/>
  <c r="AI22" i="21"/>
  <c r="AJ22" i="21"/>
  <c r="X22" i="21"/>
  <c r="AH22" i="21"/>
  <c r="AI110" i="21"/>
  <c r="R110" i="21"/>
  <c r="AD110" i="21"/>
  <c r="AF110" i="21"/>
  <c r="S69" i="21"/>
  <c r="Q126" i="21"/>
  <c r="R11" i="21"/>
  <c r="AD11" i="21"/>
  <c r="AA11" i="21"/>
  <c r="O11" i="21"/>
  <c r="X11" i="21"/>
  <c r="U11" i="21"/>
  <c r="Q11" i="21"/>
  <c r="V11" i="21"/>
  <c r="AB127" i="21"/>
  <c r="S127" i="21"/>
  <c r="AE127" i="21"/>
  <c r="U127" i="21"/>
  <c r="AH127" i="21"/>
  <c r="AD127" i="21"/>
  <c r="I46" i="21"/>
  <c r="J47" i="21" s="1"/>
  <c r="AE46" i="21"/>
  <c r="Q46" i="21"/>
  <c r="U46" i="21"/>
  <c r="AJ46" i="21"/>
  <c r="Z46" i="21"/>
  <c r="W110" i="21"/>
  <c r="S110" i="21"/>
  <c r="V110" i="21"/>
  <c r="Z110" i="21"/>
  <c r="AF41" i="21"/>
  <c r="X41" i="21"/>
  <c r="P41" i="21"/>
  <c r="AC41" i="21"/>
  <c r="AI41" i="21"/>
  <c r="S41" i="21"/>
  <c r="AD41" i="21"/>
  <c r="V41" i="21"/>
  <c r="I41" i="21"/>
  <c r="J42" i="21" s="1"/>
  <c r="Y41" i="21"/>
  <c r="AE41" i="21"/>
  <c r="AJ41" i="21"/>
  <c r="AB41" i="21"/>
  <c r="T41" i="21"/>
  <c r="U41" i="21"/>
  <c r="AA41" i="21"/>
  <c r="O12" i="21"/>
  <c r="AJ11" i="21"/>
  <c r="P11" i="21"/>
  <c r="AI11" i="21"/>
  <c r="AB11" i="21"/>
  <c r="I12" i="21"/>
  <c r="J13" i="21" s="1"/>
  <c r="AG11" i="21" s="1"/>
  <c r="W11" i="21"/>
  <c r="AG127" i="21"/>
  <c r="AA127" i="21"/>
  <c r="W127" i="21"/>
  <c r="AF127" i="21"/>
  <c r="R127" i="21"/>
  <c r="AC108" i="21"/>
  <c r="AA108" i="21"/>
  <c r="Q108" i="21"/>
  <c r="I108" i="21"/>
  <c r="J109" i="21" s="1"/>
  <c r="AH108" i="21"/>
  <c r="W46" i="21"/>
  <c r="T46" i="21"/>
  <c r="Y46" i="21"/>
  <c r="AC46" i="21"/>
  <c r="AI62" i="21"/>
  <c r="I62" i="21"/>
  <c r="J63" i="21" s="1"/>
  <c r="AE62" i="21"/>
  <c r="AG62" i="21"/>
  <c r="P62" i="21"/>
  <c r="AG44" i="21"/>
  <c r="AC44" i="21"/>
  <c r="AI44" i="21"/>
  <c r="Z44" i="21"/>
  <c r="AJ44" i="21"/>
  <c r="T22" i="21"/>
  <c r="I22" i="21"/>
  <c r="J23" i="21" s="1"/>
  <c r="S22" i="21"/>
  <c r="AA22" i="21"/>
  <c r="AE110" i="21"/>
  <c r="AG110" i="21"/>
  <c r="AB110" i="21"/>
  <c r="P110" i="21"/>
  <c r="AG126" i="21"/>
  <c r="AC126" i="21"/>
  <c r="AD126" i="21"/>
  <c r="R126" i="21"/>
  <c r="W126" i="21"/>
  <c r="I126" i="21"/>
  <c r="J127" i="21" s="1"/>
  <c r="AA126" i="21"/>
  <c r="Z126" i="21"/>
  <c r="P126" i="21"/>
  <c r="S126" i="21"/>
  <c r="AI126" i="21"/>
  <c r="X126" i="21"/>
  <c r="AJ126" i="21"/>
  <c r="AE126" i="21"/>
  <c r="V126" i="21"/>
  <c r="U126" i="21"/>
  <c r="AH126" i="21"/>
  <c r="Y126" i="21"/>
  <c r="T126" i="21"/>
  <c r="AD69" i="21"/>
  <c r="V69" i="21"/>
  <c r="I69" i="21"/>
  <c r="J70" i="21" s="1"/>
  <c r="Y69" i="21"/>
  <c r="AE69" i="21"/>
  <c r="AF69" i="21"/>
  <c r="T69" i="21"/>
  <c r="AG69" i="21"/>
  <c r="AI69" i="21"/>
  <c r="AB69" i="21"/>
  <c r="R69" i="21"/>
  <c r="AC69" i="21"/>
  <c r="AA69" i="21"/>
  <c r="AJ69" i="21"/>
  <c r="Z69" i="21"/>
  <c r="P69" i="21"/>
  <c r="U69" i="21"/>
  <c r="W69" i="21"/>
  <c r="AD65" i="21"/>
  <c r="P65" i="21"/>
  <c r="AC65" i="21"/>
  <c r="AG65" i="21"/>
  <c r="AJ65" i="21"/>
  <c r="T65" i="21"/>
  <c r="I65" i="21"/>
  <c r="J66" i="21" s="1"/>
  <c r="AI65" i="21"/>
  <c r="R65" i="21"/>
  <c r="AF65" i="21"/>
  <c r="S65" i="21"/>
  <c r="W65" i="21"/>
  <c r="Z65" i="21"/>
  <c r="AA65" i="21"/>
  <c r="AE65" i="21"/>
  <c r="V65" i="21"/>
  <c r="AH61" i="21"/>
  <c r="Z61" i="21"/>
  <c r="R61" i="21"/>
  <c r="AC61" i="21"/>
  <c r="AI61" i="21"/>
  <c r="S61" i="21"/>
  <c r="AB61" i="21"/>
  <c r="P61" i="21"/>
  <c r="U61" i="21"/>
  <c r="W61" i="21"/>
  <c r="AJ61" i="21"/>
  <c r="X61" i="21"/>
  <c r="I61" i="21"/>
  <c r="J62" i="21" s="1"/>
  <c r="Q61" i="21"/>
  <c r="AF61" i="21"/>
  <c r="V61" i="21"/>
  <c r="AG61" i="21"/>
  <c r="AE61" i="21"/>
  <c r="C16" i="8"/>
  <c r="C22" i="8"/>
  <c r="X69" i="21"/>
  <c r="D40" i="8"/>
  <c r="E40" i="8" s="1"/>
  <c r="E10" i="16"/>
  <c r="S95" i="21"/>
  <c r="AD99" i="21"/>
  <c r="AJ105" i="21"/>
  <c r="Y120" i="21"/>
  <c r="AH93" i="21"/>
  <c r="Z93" i="21"/>
  <c r="R93" i="21"/>
  <c r="AA93" i="21"/>
  <c r="AG93" i="21"/>
  <c r="Q93" i="21"/>
  <c r="AF93" i="21"/>
  <c r="X93" i="21"/>
  <c r="P93" i="21"/>
  <c r="W93" i="21"/>
  <c r="AC93" i="21"/>
  <c r="AD85" i="21"/>
  <c r="AI85" i="21"/>
  <c r="U85" i="21"/>
  <c r="V85" i="21"/>
  <c r="AJ85" i="21"/>
  <c r="AB85" i="21"/>
  <c r="AE85" i="21"/>
  <c r="S85" i="21"/>
  <c r="AG85" i="21"/>
  <c r="T85" i="21"/>
  <c r="AG75" i="21"/>
  <c r="Y75" i="21"/>
  <c r="Q75" i="21"/>
  <c r="AD75" i="21"/>
  <c r="V75" i="21"/>
  <c r="AE75" i="21"/>
  <c r="W75" i="21"/>
  <c r="AJ75" i="21"/>
  <c r="AB75" i="21"/>
  <c r="T75" i="21"/>
  <c r="AH71" i="21"/>
  <c r="X71" i="21"/>
  <c r="AG71" i="21"/>
  <c r="AI71" i="21"/>
  <c r="AF71" i="21"/>
  <c r="T71" i="21"/>
  <c r="AC71" i="21"/>
  <c r="AA71" i="21"/>
  <c r="G37" i="8"/>
  <c r="G29" i="8"/>
  <c r="G25" i="8"/>
  <c r="G21" i="8"/>
  <c r="G35" i="8"/>
  <c r="G28" i="8"/>
  <c r="G24" i="8"/>
  <c r="G19" i="8"/>
  <c r="G15" i="8"/>
  <c r="G11" i="8"/>
  <c r="G7" i="8"/>
  <c r="G3" i="8"/>
  <c r="I5" i="8"/>
  <c r="I26" i="8"/>
  <c r="I9" i="8"/>
  <c r="I19" i="8"/>
  <c r="I30" i="8"/>
  <c r="G20" i="8"/>
  <c r="H19" i="11"/>
  <c r="AJ120" i="21"/>
  <c r="AB120" i="21"/>
  <c r="T120" i="21"/>
  <c r="AG120" i="21"/>
  <c r="Q120" i="21"/>
  <c r="W120" i="21"/>
  <c r="AH120" i="21"/>
  <c r="Z120" i="21"/>
  <c r="R120" i="21"/>
  <c r="AC120" i="21"/>
  <c r="AI120" i="21"/>
  <c r="S120" i="21"/>
  <c r="AJ95" i="21"/>
  <c r="AB95" i="21"/>
  <c r="T95" i="21"/>
  <c r="AE95" i="21"/>
  <c r="I95" i="21"/>
  <c r="J96" i="21" s="1"/>
  <c r="Y95" i="21"/>
  <c r="AH95" i="21"/>
  <c r="Z95" i="21"/>
  <c r="R95" i="21"/>
  <c r="AA95" i="21"/>
  <c r="U95" i="21"/>
  <c r="I83" i="21"/>
  <c r="J84" i="21" s="1"/>
  <c r="AB83" i="21"/>
  <c r="AE83" i="21"/>
  <c r="T83" i="21"/>
  <c r="E16" i="8"/>
  <c r="E39" i="8"/>
  <c r="E27" i="8"/>
  <c r="E23" i="8"/>
  <c r="E17" i="8"/>
  <c r="E12" i="8"/>
  <c r="E8" i="8"/>
  <c r="E4" i="8"/>
  <c r="E35" i="8"/>
  <c r="E36" i="8"/>
  <c r="E30" i="8"/>
  <c r="E26" i="8"/>
  <c r="E21" i="8"/>
  <c r="E15" i="8"/>
  <c r="E11" i="8"/>
  <c r="E7" i="8"/>
  <c r="E3" i="8"/>
  <c r="E34" i="8"/>
  <c r="AC95" i="21"/>
  <c r="AI95" i="21"/>
  <c r="AD95" i="21"/>
  <c r="AE120" i="21"/>
  <c r="P120" i="21"/>
  <c r="AF120" i="21"/>
  <c r="AE113" i="21"/>
  <c r="AJ113" i="21"/>
  <c r="AA109" i="21"/>
  <c r="AF109" i="21"/>
  <c r="X109" i="21"/>
  <c r="AD122" i="21"/>
  <c r="X122" i="21"/>
  <c r="AF57" i="21"/>
  <c r="X57" i="21"/>
  <c r="P57" i="21"/>
  <c r="AC57" i="21"/>
  <c r="AI57" i="21"/>
  <c r="S57" i="21"/>
  <c r="AF51" i="21"/>
  <c r="X51" i="21"/>
  <c r="P51" i="21"/>
  <c r="AC51" i="21"/>
  <c r="AI51" i="21"/>
  <c r="S51" i="21"/>
  <c r="D164" i="1"/>
  <c r="E164" i="1"/>
  <c r="E165" i="1"/>
  <c r="D165" i="1"/>
  <c r="A24" i="21"/>
  <c r="F25" i="21"/>
  <c r="E26" i="21"/>
  <c r="F33" i="21"/>
  <c r="A31" i="21"/>
  <c r="X26" i="21"/>
  <c r="I26" i="21"/>
  <c r="J27" i="21" s="1"/>
  <c r="T26" i="21"/>
  <c r="E25" i="21"/>
  <c r="C62" i="21"/>
  <c r="E62" i="21"/>
  <c r="D65" i="21"/>
  <c r="C76" i="21"/>
  <c r="E76" i="21"/>
  <c r="V78" i="21"/>
  <c r="X78" i="21"/>
  <c r="R78" i="21"/>
  <c r="T78" i="21"/>
  <c r="G92" i="21"/>
  <c r="G114" i="21"/>
  <c r="Z121" i="21"/>
  <c r="R121" i="21"/>
  <c r="A33" i="21"/>
  <c r="H20" i="21"/>
  <c r="Y40" i="21"/>
  <c r="V40" i="21"/>
  <c r="X40" i="21"/>
  <c r="P40" i="21"/>
  <c r="D49" i="21"/>
  <c r="T58" i="21"/>
  <c r="Z58" i="21"/>
  <c r="P58" i="21"/>
  <c r="AF58" i="21"/>
  <c r="D63" i="21"/>
  <c r="F73" i="21"/>
  <c r="AB90" i="21"/>
  <c r="AJ90" i="21"/>
  <c r="AH94" i="21"/>
  <c r="AJ94" i="21"/>
  <c r="F120" i="21"/>
  <c r="D120" i="21"/>
  <c r="E54" i="9"/>
  <c r="E50" i="9"/>
  <c r="E45" i="9"/>
  <c r="E41" i="9"/>
  <c r="E37" i="9"/>
  <c r="E33" i="9"/>
  <c r="E29" i="9"/>
  <c r="E25" i="9"/>
  <c r="E21" i="9"/>
  <c r="E16" i="9"/>
  <c r="E13" i="9"/>
  <c r="E5" i="9"/>
  <c r="E107" i="1"/>
  <c r="E53" i="9"/>
  <c r="E44" i="9"/>
  <c r="E40" i="9"/>
  <c r="E36" i="9"/>
  <c r="E32" i="9"/>
  <c r="E28" i="9"/>
  <c r="E24" i="9"/>
  <c r="E20" i="9"/>
  <c r="E15" i="9"/>
  <c r="E12" i="9"/>
  <c r="E8" i="9"/>
  <c r="E4" i="9"/>
  <c r="F27" i="21"/>
  <c r="A25" i="21"/>
  <c r="D23" i="21"/>
  <c r="H23" i="21"/>
  <c r="E23" i="21"/>
  <c r="H39" i="21"/>
  <c r="F39" i="21"/>
  <c r="E64" i="21"/>
  <c r="G64" i="21"/>
  <c r="G116" i="21"/>
  <c r="H115" i="21"/>
  <c r="C49" i="9"/>
  <c r="E49" i="9"/>
  <c r="F114" i="1"/>
  <c r="G38" i="9"/>
  <c r="D37" i="21"/>
  <c r="F37" i="21"/>
  <c r="E40" i="21"/>
  <c r="C48" i="21"/>
  <c r="E48" i="21"/>
  <c r="AD58" i="21"/>
  <c r="Z64" i="21"/>
  <c r="V84" i="21"/>
  <c r="F93" i="21"/>
  <c r="T94" i="21"/>
  <c r="E108" i="21"/>
  <c r="E106" i="21"/>
  <c r="H114" i="21"/>
  <c r="G119" i="21"/>
  <c r="F41" i="21"/>
  <c r="F43" i="21"/>
  <c r="F45" i="21"/>
  <c r="F52" i="21"/>
  <c r="C68" i="21"/>
  <c r="G72" i="21"/>
  <c r="H80" i="21"/>
  <c r="E92" i="21"/>
  <c r="G106" i="21"/>
  <c r="V112" i="21"/>
  <c r="D115" i="21"/>
  <c r="E118" i="21"/>
  <c r="D122" i="21"/>
  <c r="E133" i="21"/>
  <c r="E325" i="1"/>
  <c r="E316" i="1"/>
  <c r="H129" i="21"/>
  <c r="B3" i="9"/>
  <c r="AH28" i="21"/>
  <c r="H21" i="21"/>
  <c r="C38" i="21"/>
  <c r="H43" i="21"/>
  <c r="H45" i="21"/>
  <c r="H59" i="21"/>
  <c r="H65" i="21"/>
  <c r="C70" i="21"/>
  <c r="E80" i="21"/>
  <c r="C80" i="21"/>
  <c r="G86" i="21"/>
  <c r="E96" i="21"/>
  <c r="G102" i="21"/>
  <c r="F107" i="21"/>
  <c r="D119" i="21"/>
  <c r="G123" i="21"/>
  <c r="H127" i="21"/>
  <c r="G15" i="21"/>
  <c r="AI83" i="21"/>
  <c r="AA83" i="21"/>
  <c r="S83" i="21"/>
  <c r="AF83" i="21"/>
  <c r="X83" i="21"/>
  <c r="P83" i="21"/>
  <c r="AC83" i="21"/>
  <c r="U83" i="21"/>
  <c r="AH83" i="21"/>
  <c r="Z83" i="21"/>
  <c r="R83" i="21"/>
  <c r="AG83" i="21"/>
  <c r="Y83" i="21"/>
  <c r="Q83" i="21"/>
  <c r="AD83" i="21"/>
  <c r="V83" i="21"/>
  <c r="AH59" i="21"/>
  <c r="Z59" i="21"/>
  <c r="R59" i="21"/>
  <c r="AG59" i="21"/>
  <c r="Q59" i="21"/>
  <c r="W59" i="21"/>
  <c r="AJ59" i="21"/>
  <c r="AB59" i="21"/>
  <c r="T59" i="21"/>
  <c r="U59" i="21"/>
  <c r="AA59" i="21"/>
  <c r="AF59" i="21"/>
  <c r="X59" i="21"/>
  <c r="P59" i="21"/>
  <c r="AC59" i="21"/>
  <c r="AI59" i="21"/>
  <c r="S59" i="21"/>
  <c r="AD28" i="21"/>
  <c r="Z28" i="21"/>
  <c r="U28" i="21"/>
  <c r="Q28" i="21"/>
  <c r="AE28" i="21"/>
  <c r="X28" i="21"/>
  <c r="W28" i="21"/>
  <c r="T28" i="21"/>
  <c r="AG28" i="21"/>
  <c r="AF28" i="21"/>
  <c r="AC28" i="21"/>
  <c r="AB28" i="21"/>
  <c r="AA28" i="21"/>
  <c r="R28" i="21"/>
  <c r="P28" i="21"/>
  <c r="O28" i="21"/>
  <c r="O25" i="21"/>
  <c r="I25" i="21"/>
  <c r="J26" i="21" s="1"/>
  <c r="P25" i="21"/>
  <c r="AJ25" i="21"/>
  <c r="AJ132" i="21"/>
  <c r="T132" i="21"/>
  <c r="W132" i="21"/>
  <c r="AE132" i="21"/>
  <c r="X132" i="21"/>
  <c r="U132" i="21"/>
  <c r="AC132" i="21"/>
  <c r="AB132" i="21"/>
  <c r="AD132" i="21"/>
  <c r="AF132" i="21"/>
  <c r="P132" i="21"/>
  <c r="Q132" i="21"/>
  <c r="Y132" i="21"/>
  <c r="AG132" i="21"/>
  <c r="AF12" i="21"/>
  <c r="W12" i="21"/>
  <c r="Z12" i="21"/>
  <c r="AH12" i="21"/>
  <c r="AD12" i="21"/>
  <c r="H19" i="21"/>
  <c r="AJ67" i="21"/>
  <c r="AB67" i="21"/>
  <c r="T67" i="21"/>
  <c r="U67" i="21"/>
  <c r="AA67" i="21"/>
  <c r="AD67" i="21"/>
  <c r="V67" i="21"/>
  <c r="I67" i="21"/>
  <c r="J68" i="21" s="1"/>
  <c r="Y67" i="21"/>
  <c r="AE67" i="21"/>
  <c r="AH67" i="21"/>
  <c r="Z67" i="21"/>
  <c r="R67" i="21"/>
  <c r="AG67" i="21"/>
  <c r="Q67" i="21"/>
  <c r="W67" i="21"/>
  <c r="AJ47" i="21"/>
  <c r="AB47" i="21"/>
  <c r="T47" i="21"/>
  <c r="U47" i="21"/>
  <c r="AA47" i="21"/>
  <c r="AD47" i="21"/>
  <c r="V47" i="21"/>
  <c r="I47" i="21"/>
  <c r="J48" i="21" s="1"/>
  <c r="Y47" i="21"/>
  <c r="AE47" i="21"/>
  <c r="AH47" i="21"/>
  <c r="Z47" i="21"/>
  <c r="R47" i="21"/>
  <c r="AG47" i="21"/>
  <c r="Q47" i="21"/>
  <c r="W47" i="21"/>
  <c r="AH45" i="21"/>
  <c r="Z45" i="21"/>
  <c r="R45" i="21"/>
  <c r="AG45" i="21"/>
  <c r="Q45" i="21"/>
  <c r="W45" i="21"/>
  <c r="AJ45" i="21"/>
  <c r="AB45" i="21"/>
  <c r="T45" i="21"/>
  <c r="U45" i="21"/>
  <c r="AA45" i="21"/>
  <c r="AF45" i="21"/>
  <c r="X45" i="21"/>
  <c r="P45" i="21"/>
  <c r="AC45" i="21"/>
  <c r="AI45" i="21"/>
  <c r="S45" i="21"/>
  <c r="D33" i="21"/>
  <c r="G34" i="21"/>
  <c r="A32" i="21"/>
  <c r="E33" i="21"/>
  <c r="F32" i="21"/>
  <c r="H33" i="21"/>
  <c r="AG23" i="21"/>
  <c r="I23" i="21"/>
  <c r="J24" i="21" s="1"/>
  <c r="AB23" i="21"/>
  <c r="R23" i="21"/>
  <c r="V23" i="21"/>
  <c r="AH23" i="21"/>
  <c r="Z23" i="21"/>
  <c r="AI23" i="21"/>
  <c r="X23" i="21"/>
  <c r="AC23" i="21"/>
  <c r="AJ23" i="21"/>
  <c r="W23" i="21"/>
  <c r="AA23" i="21"/>
  <c r="AE23" i="21"/>
  <c r="AF23" i="21"/>
  <c r="AJ102" i="21"/>
  <c r="P102" i="21"/>
  <c r="V102" i="21"/>
  <c r="AI102" i="21"/>
  <c r="AA102" i="21"/>
  <c r="S102" i="21"/>
  <c r="T102" i="21"/>
  <c r="R102" i="21"/>
  <c r="AC102" i="21"/>
  <c r="U102" i="21"/>
  <c r="AH102" i="21"/>
  <c r="X102" i="21"/>
  <c r="AB102" i="21"/>
  <c r="AF102" i="21"/>
  <c r="Z102" i="21"/>
  <c r="AG102" i="21"/>
  <c r="Y102" i="21"/>
  <c r="Q102" i="21"/>
  <c r="G13" i="21"/>
  <c r="Z124" i="21"/>
  <c r="W124" i="21"/>
  <c r="X124" i="21"/>
  <c r="S124" i="21"/>
  <c r="R124" i="21"/>
  <c r="AG124" i="21"/>
  <c r="V124" i="21"/>
  <c r="AJ124" i="21"/>
  <c r="U124" i="21"/>
  <c r="AF124" i="21"/>
  <c r="AI124" i="21"/>
  <c r="I124" i="21"/>
  <c r="J125" i="21" s="1"/>
  <c r="P124" i="21"/>
  <c r="AB124" i="21"/>
  <c r="AE124" i="21"/>
  <c r="Y107" i="21"/>
  <c r="AH107" i="21"/>
  <c r="U107" i="21"/>
  <c r="W107" i="21"/>
  <c r="T107" i="21"/>
  <c r="AB107" i="21"/>
  <c r="V107" i="21"/>
  <c r="AE107" i="21"/>
  <c r="Z107" i="21"/>
  <c r="AF107" i="21"/>
  <c r="AG107" i="21"/>
  <c r="AI107" i="21"/>
  <c r="AC26" i="21"/>
  <c r="AB26" i="21"/>
  <c r="AA26" i="21"/>
  <c r="P26" i="21"/>
  <c r="O26" i="21"/>
  <c r="AD26" i="21"/>
  <c r="Q26" i="21"/>
  <c r="AE26" i="21"/>
  <c r="AJ26" i="21"/>
  <c r="AH26" i="21"/>
  <c r="Y26" i="21"/>
  <c r="V26" i="21"/>
  <c r="S26" i="21"/>
  <c r="AI26" i="21"/>
  <c r="Z66" i="21"/>
  <c r="AB66" i="21"/>
  <c r="AG66" i="21"/>
  <c r="Y66" i="21"/>
  <c r="Q66" i="21"/>
  <c r="AD66" i="21"/>
  <c r="T66" i="21"/>
  <c r="AI66" i="21"/>
  <c r="AA66" i="21"/>
  <c r="S66" i="21"/>
  <c r="AF66" i="21"/>
  <c r="I66" i="21"/>
  <c r="J67" i="21" s="1"/>
  <c r="AE66" i="21"/>
  <c r="W66" i="21"/>
  <c r="P76" i="21"/>
  <c r="AJ76" i="21"/>
  <c r="U76" i="21"/>
  <c r="AC76" i="21"/>
  <c r="AF76" i="21"/>
  <c r="S76" i="21"/>
  <c r="AA76" i="21"/>
  <c r="AI76" i="21"/>
  <c r="AH76" i="21"/>
  <c r="T76" i="21"/>
  <c r="W76" i="21"/>
  <c r="AE76" i="21"/>
  <c r="AG130" i="21"/>
  <c r="AB130" i="21"/>
  <c r="W130" i="21"/>
  <c r="Q130" i="21"/>
  <c r="AI130" i="21"/>
  <c r="AC130" i="21"/>
  <c r="X130" i="21"/>
  <c r="S130" i="21"/>
  <c r="I130" i="21"/>
  <c r="J131" i="21" s="1"/>
  <c r="AJ130" i="21"/>
  <c r="AE130" i="21"/>
  <c r="Y130" i="21"/>
  <c r="T130" i="21"/>
  <c r="AH130" i="21"/>
  <c r="AF130" i="21"/>
  <c r="AA130" i="21"/>
  <c r="U130" i="21"/>
  <c r="P130" i="21"/>
  <c r="AD133" i="21"/>
  <c r="V133" i="21"/>
  <c r="AI133" i="21"/>
  <c r="AA133" i="21"/>
  <c r="S133" i="21"/>
  <c r="I133" i="21"/>
  <c r="J134" i="21" s="1"/>
  <c r="AF133" i="21"/>
  <c r="X133" i="21"/>
  <c r="P133" i="21"/>
  <c r="AC133" i="21"/>
  <c r="U133" i="21"/>
  <c r="AJ133" i="21"/>
  <c r="AB133" i="21"/>
  <c r="T133" i="21"/>
  <c r="AG133" i="21"/>
  <c r="Y133" i="21"/>
  <c r="Q133" i="21"/>
  <c r="AI12" i="21"/>
  <c r="V12" i="21"/>
  <c r="AA12" i="21"/>
  <c r="R12" i="21"/>
  <c r="U12" i="21"/>
  <c r="AE12" i="21"/>
  <c r="AJ12" i="21"/>
  <c r="I28" i="21"/>
  <c r="J29" i="21" s="1"/>
  <c r="O32" i="21"/>
  <c r="S28" i="21"/>
  <c r="E32" i="21"/>
  <c r="AJ97" i="21"/>
  <c r="T97" i="21"/>
  <c r="I97" i="21"/>
  <c r="J98" i="21" s="1"/>
  <c r="W97" i="21"/>
  <c r="V97" i="21"/>
  <c r="Z97" i="21"/>
  <c r="AA97" i="21"/>
  <c r="U97" i="21"/>
  <c r="AH97" i="21"/>
  <c r="R97" i="21"/>
  <c r="Y32" i="21"/>
  <c r="X32" i="21"/>
  <c r="AE32" i="21"/>
  <c r="S32" i="21"/>
  <c r="I32" i="21"/>
  <c r="J33" i="21" s="1"/>
  <c r="AG32" i="21"/>
  <c r="AF32" i="21"/>
  <c r="Z32" i="21"/>
  <c r="I24" i="21"/>
  <c r="J25" i="21" s="1"/>
  <c r="AI24" i="21"/>
  <c r="AB24" i="21"/>
  <c r="AE24" i="21"/>
  <c r="T80" i="21"/>
  <c r="AJ80" i="21"/>
  <c r="U80" i="21"/>
  <c r="AC80" i="21"/>
  <c r="P80" i="21"/>
  <c r="AF80" i="21"/>
  <c r="S80" i="21"/>
  <c r="AA80" i="21"/>
  <c r="AI80" i="21"/>
  <c r="Z80" i="21"/>
  <c r="AD80" i="21"/>
  <c r="X80" i="21"/>
  <c r="W80" i="21"/>
  <c r="AE80" i="21"/>
  <c r="AB88" i="21"/>
  <c r="R88" i="21"/>
  <c r="AI88" i="21"/>
  <c r="AA88" i="21"/>
  <c r="S88" i="21"/>
  <c r="AH88" i="21"/>
  <c r="T88" i="21"/>
  <c r="AD88" i="21"/>
  <c r="AC88" i="21"/>
  <c r="U88" i="21"/>
  <c r="P88" i="21"/>
  <c r="AF88" i="21"/>
  <c r="X88" i="21"/>
  <c r="AJ88" i="21"/>
  <c r="V88" i="21"/>
  <c r="AG88" i="21"/>
  <c r="Y88" i="21"/>
  <c r="Q88" i="21"/>
  <c r="Y12" i="21"/>
  <c r="I13" i="21"/>
  <c r="J14" i="21" s="1"/>
  <c r="Q12" i="21"/>
  <c r="AB12" i="21"/>
  <c r="T12" i="21"/>
  <c r="AI122" i="21"/>
  <c r="AF122" i="21"/>
  <c r="Y115" i="21"/>
  <c r="A40" i="21"/>
  <c r="D42" i="21"/>
  <c r="A38" i="21"/>
  <c r="D40" i="21"/>
  <c r="H38" i="21"/>
  <c r="AF64" i="21"/>
  <c r="E27" i="21"/>
  <c r="F28" i="21"/>
  <c r="A37" i="21"/>
  <c r="D39" i="21"/>
  <c r="C40" i="21"/>
  <c r="D41" i="21"/>
  <c r="E42" i="21"/>
  <c r="D43" i="21"/>
  <c r="C46" i="21"/>
  <c r="C52" i="21"/>
  <c r="F59" i="21"/>
  <c r="E72" i="21"/>
  <c r="A75" i="21"/>
  <c r="H78" i="21"/>
  <c r="AD78" i="21"/>
  <c r="I78" i="21"/>
  <c r="J79" i="21" s="1"/>
  <c r="G80" i="21"/>
  <c r="AH84" i="21"/>
  <c r="AB94" i="21"/>
  <c r="G96" i="21"/>
  <c r="X104" i="21"/>
  <c r="AH104" i="21"/>
  <c r="P112" i="21"/>
  <c r="X112" i="21"/>
  <c r="AF112" i="21"/>
  <c r="C114" i="21"/>
  <c r="A119" i="21"/>
  <c r="C121" i="21"/>
  <c r="E123" i="21"/>
  <c r="C127" i="21"/>
  <c r="E44" i="21"/>
  <c r="A51" i="21"/>
  <c r="H61" i="21"/>
  <c r="G62" i="21"/>
  <c r="G66" i="21"/>
  <c r="C72" i="21"/>
  <c r="D73" i="21"/>
  <c r="D75" i="21"/>
  <c r="Z78" i="21"/>
  <c r="AD84" i="21"/>
  <c r="F91" i="21"/>
  <c r="X94" i="21"/>
  <c r="F95" i="21"/>
  <c r="P104" i="21"/>
  <c r="AC122" i="21"/>
  <c r="P109" i="21"/>
  <c r="V115" i="21"/>
  <c r="AG115" i="21"/>
  <c r="C63" i="21"/>
  <c r="E61" i="21"/>
  <c r="H62" i="21"/>
  <c r="G59" i="21"/>
  <c r="C53" i="21"/>
  <c r="C51" i="21"/>
  <c r="G45" i="21"/>
  <c r="D44" i="21"/>
  <c r="C41" i="21"/>
  <c r="F42" i="21"/>
  <c r="C39" i="21"/>
  <c r="F40" i="21"/>
  <c r="G37" i="21"/>
  <c r="AJ100" i="21"/>
  <c r="AB84" i="21"/>
  <c r="AB78" i="21"/>
  <c r="H15" i="21"/>
  <c r="F29" i="21"/>
  <c r="E31" i="21"/>
  <c r="A35" i="21"/>
  <c r="A43" i="21"/>
  <c r="A57" i="21"/>
  <c r="AH78" i="21"/>
  <c r="P94" i="21"/>
  <c r="AF94" i="21"/>
  <c r="R112" i="21"/>
  <c r="Z112" i="21"/>
  <c r="E114" i="21"/>
  <c r="G167" i="1" l="1"/>
  <c r="E167" i="1"/>
  <c r="E168" i="1" s="1"/>
  <c r="F328" i="1" s="1"/>
  <c r="D167" i="1"/>
  <c r="D168" i="1" s="1"/>
  <c r="E328" i="1" s="1"/>
  <c r="F167" i="1"/>
  <c r="F168" i="1" s="1"/>
  <c r="G328" i="1" s="1"/>
  <c r="G168" i="1"/>
  <c r="H328" i="1" s="1"/>
  <c r="E10" i="9"/>
  <c r="E113" i="1"/>
  <c r="D17" i="9"/>
  <c r="AJ71" i="21"/>
  <c r="P71" i="21"/>
  <c r="S71" i="21"/>
  <c r="AB71" i="21"/>
  <c r="U71" i="21"/>
  <c r="W71" i="21"/>
  <c r="I71" i="21"/>
  <c r="J72" i="21" s="1"/>
  <c r="Z71" i="21"/>
  <c r="R71" i="21"/>
  <c r="AD71" i="21"/>
  <c r="Y71" i="21"/>
  <c r="V71" i="21"/>
  <c r="Q71" i="21"/>
  <c r="AE71" i="21"/>
  <c r="I15" i="8"/>
  <c r="I37" i="8"/>
  <c r="I24" i="8"/>
  <c r="I11" i="8"/>
  <c r="I40" i="8"/>
  <c r="I35" i="8"/>
  <c r="I14" i="8"/>
  <c r="I29" i="8"/>
  <c r="I22" i="8"/>
  <c r="I13" i="8"/>
  <c r="I34" i="8"/>
  <c r="I17" i="8"/>
  <c r="I7" i="8"/>
  <c r="I27" i="8"/>
  <c r="I18" i="8"/>
  <c r="I36" i="8"/>
  <c r="I6" i="8"/>
  <c r="I21" i="8"/>
  <c r="I12" i="8"/>
  <c r="I3" i="8"/>
  <c r="I23" i="8"/>
  <c r="I33" i="8"/>
  <c r="I8" i="8"/>
  <c r="I25" i="8"/>
  <c r="I32" i="8"/>
  <c r="I10" i="8"/>
  <c r="I28" i="8"/>
  <c r="I16" i="8"/>
  <c r="B9" i="9"/>
  <c r="C9" i="9" s="1"/>
  <c r="F9" i="9"/>
  <c r="G17" i="9"/>
  <c r="E14" i="9"/>
  <c r="AH49" i="21"/>
  <c r="Z49" i="21"/>
  <c r="R49" i="21"/>
  <c r="AG49" i="21"/>
  <c r="AF49" i="21"/>
  <c r="X49" i="21"/>
  <c r="P49" i="21"/>
  <c r="AC49" i="21"/>
  <c r="AD49" i="21"/>
  <c r="I49" i="21"/>
  <c r="J50" i="21" s="1"/>
  <c r="Q49" i="21"/>
  <c r="W49" i="21"/>
  <c r="AB49" i="21"/>
  <c r="AI49" i="21"/>
  <c r="S49" i="21"/>
  <c r="V49" i="21"/>
  <c r="Y49" i="21"/>
  <c r="AE49" i="21"/>
  <c r="U49" i="21"/>
  <c r="AA49" i="21"/>
  <c r="AJ49" i="21"/>
  <c r="T49" i="21"/>
  <c r="AJ122" i="21"/>
  <c r="AA122" i="21"/>
  <c r="AG122" i="21"/>
  <c r="P122" i="21"/>
  <c r="AB122" i="21"/>
  <c r="AH122" i="21"/>
  <c r="Q122" i="21"/>
  <c r="S122" i="21"/>
  <c r="AE122" i="21"/>
  <c r="T122" i="21"/>
  <c r="Z122" i="21"/>
  <c r="W122" i="21"/>
  <c r="Y122" i="21"/>
  <c r="I122" i="21"/>
  <c r="J123" i="21" s="1"/>
  <c r="U122" i="21"/>
  <c r="V122" i="21"/>
  <c r="R122" i="21"/>
  <c r="E11" i="16"/>
  <c r="D11" i="16" s="1"/>
  <c r="H11" i="16" s="1"/>
  <c r="G11" i="16"/>
  <c r="E46" i="9"/>
  <c r="D31" i="8"/>
  <c r="E31" i="8" s="1"/>
  <c r="E20" i="8"/>
  <c r="E114" i="1"/>
  <c r="E38" i="9"/>
  <c r="AI81" i="21"/>
  <c r="AA81" i="21"/>
  <c r="S81" i="21"/>
  <c r="AF81" i="21"/>
  <c r="X81" i="21"/>
  <c r="P81" i="21"/>
  <c r="AG81" i="21"/>
  <c r="Y81" i="21"/>
  <c r="Q81" i="21"/>
  <c r="AD81" i="21"/>
  <c r="V81" i="21"/>
  <c r="AE81" i="21"/>
  <c r="AJ81" i="21"/>
  <c r="T81" i="21"/>
  <c r="AC81" i="21"/>
  <c r="AH81" i="21"/>
  <c r="R81" i="21"/>
  <c r="W81" i="21"/>
  <c r="AB81" i="21"/>
  <c r="I81" i="21"/>
  <c r="J82" i="21" s="1"/>
  <c r="Z81" i="21"/>
  <c r="U81" i="21"/>
  <c r="AD63" i="21"/>
  <c r="V63" i="21"/>
  <c r="I63" i="21"/>
  <c r="J64" i="21" s="1"/>
  <c r="U63" i="21"/>
  <c r="AA63" i="21"/>
  <c r="AJ63" i="21"/>
  <c r="AB63" i="21"/>
  <c r="T63" i="21"/>
  <c r="AG63" i="21"/>
  <c r="Q63" i="21"/>
  <c r="W63" i="21"/>
  <c r="AH63" i="21"/>
  <c r="R63" i="21"/>
  <c r="AI63" i="21"/>
  <c r="AF63" i="21"/>
  <c r="P63" i="21"/>
  <c r="AE63" i="21"/>
  <c r="Z63" i="21"/>
  <c r="AC63" i="21"/>
  <c r="S63" i="21"/>
  <c r="X63" i="21"/>
  <c r="Y63" i="21"/>
  <c r="AH53" i="21"/>
  <c r="U53" i="21"/>
  <c r="AJ53" i="21"/>
  <c r="AA53" i="21"/>
  <c r="AB53" i="21"/>
  <c r="AI53" i="21"/>
  <c r="AC53" i="21"/>
  <c r="R53" i="21"/>
  <c r="T53" i="21"/>
  <c r="AE53" i="21"/>
  <c r="V53" i="21"/>
  <c r="P53" i="21"/>
  <c r="X53" i="21"/>
  <c r="W53" i="21"/>
  <c r="Z53" i="21"/>
  <c r="Y53" i="21"/>
  <c r="AD53" i="21"/>
  <c r="AF53" i="21"/>
  <c r="Q53" i="21"/>
  <c r="S53" i="21"/>
  <c r="I53" i="21"/>
  <c r="J54" i="21" s="1"/>
  <c r="AG53" i="21"/>
  <c r="E330" i="1"/>
  <c r="L255" i="1"/>
  <c r="G49" i="9"/>
  <c r="E35" i="9"/>
  <c r="E30" i="9"/>
  <c r="E27" i="9"/>
  <c r="E22" i="9"/>
  <c r="E55" i="9"/>
  <c r="E52" i="9"/>
  <c r="E43" i="9"/>
  <c r="E6" i="9"/>
  <c r="E3" i="9"/>
  <c r="E34" i="9"/>
  <c r="E31" i="9"/>
  <c r="E26" i="9"/>
  <c r="E18" i="9"/>
  <c r="E11" i="9"/>
  <c r="E47" i="9"/>
  <c r="E42" i="9"/>
  <c r="E7" i="9"/>
  <c r="E51" i="9"/>
  <c r="E39" i="9"/>
  <c r="Z88" i="21"/>
  <c r="I88" i="21"/>
  <c r="J89" i="21" s="1"/>
  <c r="AE88" i="21"/>
  <c r="W88" i="21"/>
  <c r="I4" i="8"/>
  <c r="E19" i="9"/>
  <c r="AJ24" i="21"/>
  <c r="T24" i="21"/>
  <c r="AH24" i="21"/>
  <c r="W24" i="21"/>
  <c r="Q24" i="21"/>
  <c r="AD24" i="21"/>
  <c r="AF24" i="21"/>
  <c r="AC24" i="21"/>
  <c r="S24" i="21"/>
  <c r="O24" i="21"/>
  <c r="V24" i="21"/>
  <c r="Z24" i="21"/>
  <c r="AA24" i="21"/>
  <c r="P24" i="21"/>
  <c r="AG24" i="21"/>
  <c r="U24" i="21"/>
  <c r="R24" i="21"/>
  <c r="Y24" i="21"/>
  <c r="X24" i="21"/>
  <c r="F316" i="1"/>
  <c r="E322" i="1"/>
  <c r="AB32" i="21"/>
  <c r="R32" i="21"/>
  <c r="Q32" i="21"/>
  <c r="T32" i="21"/>
  <c r="W32" i="21"/>
  <c r="AI32" i="21"/>
  <c r="AJ32" i="21"/>
  <c r="AH32" i="21"/>
  <c r="AD32" i="21"/>
  <c r="V32" i="21"/>
  <c r="AC32" i="21"/>
  <c r="P32" i="21"/>
  <c r="U32" i="21"/>
  <c r="AA32" i="21"/>
  <c r="D10" i="16"/>
  <c r="S12" i="21"/>
  <c r="A15" i="21"/>
  <c r="AD13" i="21" s="1"/>
  <c r="D18" i="21"/>
  <c r="C18" i="21" s="1"/>
  <c r="G18" i="21" s="1"/>
  <c r="F18" i="21"/>
  <c r="C53" i="9"/>
  <c r="C44" i="9"/>
  <c r="C40" i="9"/>
  <c r="C36" i="9"/>
  <c r="C32" i="9"/>
  <c r="C28" i="9"/>
  <c r="C24" i="9"/>
  <c r="C20" i="9"/>
  <c r="C15" i="9"/>
  <c r="C12" i="9"/>
  <c r="C8" i="9"/>
  <c r="C4" i="9"/>
  <c r="C14" i="9"/>
  <c r="C52" i="9"/>
  <c r="C47" i="9"/>
  <c r="C43" i="9"/>
  <c r="C39" i="9"/>
  <c r="C35" i="9"/>
  <c r="C31" i="9"/>
  <c r="C27" i="9"/>
  <c r="C23" i="9"/>
  <c r="C19" i="9"/>
  <c r="C11" i="9"/>
  <c r="C7" i="9"/>
  <c r="C3" i="9"/>
  <c r="C37" i="9"/>
  <c r="C33" i="9"/>
  <c r="C29" i="9"/>
  <c r="C25" i="9"/>
  <c r="C21" i="9"/>
  <c r="C16" i="9"/>
  <c r="C6" i="9"/>
  <c r="D107" i="1"/>
  <c r="C54" i="9"/>
  <c r="C50" i="9"/>
  <c r="C45" i="9"/>
  <c r="C41" i="9"/>
  <c r="C13" i="9"/>
  <c r="C42" i="9"/>
  <c r="C30" i="9"/>
  <c r="C46" i="9"/>
  <c r="C34" i="9"/>
  <c r="C18" i="9"/>
  <c r="C51" i="9"/>
  <c r="C38" i="9"/>
  <c r="C22" i="9"/>
  <c r="C5" i="9"/>
  <c r="C55" i="9"/>
  <c r="C26" i="9"/>
  <c r="C17" i="9"/>
  <c r="B56" i="9"/>
  <c r="C10" i="9"/>
  <c r="AG30" i="21"/>
  <c r="I30" i="21"/>
  <c r="J31" i="21" s="1"/>
  <c r="AA30" i="21"/>
  <c r="P30" i="21"/>
  <c r="T30" i="21"/>
  <c r="R30" i="21"/>
  <c r="AE30" i="21"/>
  <c r="AH30" i="21"/>
  <c r="Z30" i="21"/>
  <c r="O30" i="21"/>
  <c r="Q30" i="21"/>
  <c r="AI30" i="21"/>
  <c r="AC30" i="21"/>
  <c r="X30" i="21"/>
  <c r="Y30" i="21"/>
  <c r="AF30" i="21"/>
  <c r="AJ30" i="21"/>
  <c r="AD30" i="21"/>
  <c r="AB30" i="21"/>
  <c r="S30" i="21"/>
  <c r="W30" i="21"/>
  <c r="V30" i="21"/>
  <c r="U30" i="21"/>
  <c r="Q23" i="21"/>
  <c r="Y23" i="21"/>
  <c r="P23" i="21"/>
  <c r="AD23" i="21"/>
  <c r="U23" i="21"/>
  <c r="T23" i="21"/>
  <c r="O23" i="21"/>
  <c r="S23" i="21"/>
  <c r="P12" i="21"/>
  <c r="W118" i="21"/>
  <c r="AE118" i="21"/>
  <c r="U118" i="21"/>
  <c r="AC118" i="21"/>
  <c r="R118" i="21"/>
  <c r="AH118" i="21"/>
  <c r="Q118" i="21"/>
  <c r="Y118" i="21"/>
  <c r="AG118" i="21"/>
  <c r="AA118" i="21"/>
  <c r="T118" i="21"/>
  <c r="V118" i="21"/>
  <c r="X118" i="21"/>
  <c r="S118" i="21"/>
  <c r="AB118" i="21"/>
  <c r="AF118" i="21"/>
  <c r="AD118" i="21"/>
  <c r="AJ118" i="21"/>
  <c r="P118" i="21"/>
  <c r="AI118" i="21"/>
  <c r="I118" i="21"/>
  <c r="J119" i="21" s="1"/>
  <c r="Z118" i="21"/>
  <c r="X36" i="21"/>
  <c r="AI36" i="21"/>
  <c r="S36" i="21"/>
  <c r="AJ36" i="21"/>
  <c r="W36" i="21"/>
  <c r="V36" i="21"/>
  <c r="P36" i="21"/>
  <c r="AE36" i="21"/>
  <c r="AH36" i="21"/>
  <c r="Z36" i="21"/>
  <c r="Q36" i="21"/>
  <c r="AB36" i="21"/>
  <c r="Y36" i="21"/>
  <c r="U36" i="21"/>
  <c r="AA36" i="21"/>
  <c r="AD36" i="21"/>
  <c r="AG36" i="21"/>
  <c r="AC36" i="21"/>
  <c r="I36" i="21"/>
  <c r="J37" i="21" s="1"/>
  <c r="R36" i="21"/>
  <c r="T36" i="21"/>
  <c r="AF36" i="21"/>
  <c r="AJ39" i="21"/>
  <c r="AB39" i="21"/>
  <c r="T39" i="21"/>
  <c r="U39" i="21"/>
  <c r="AA39" i="21"/>
  <c r="AD39" i="21"/>
  <c r="V39" i="21"/>
  <c r="I39" i="21"/>
  <c r="J40" i="21" s="1"/>
  <c r="Y39" i="21"/>
  <c r="AE39" i="21"/>
  <c r="AH39" i="21"/>
  <c r="Z39" i="21"/>
  <c r="R39" i="21"/>
  <c r="AG39" i="21"/>
  <c r="Q39" i="21"/>
  <c r="W39" i="21"/>
  <c r="AC39" i="21"/>
  <c r="P39" i="21"/>
  <c r="X39" i="21"/>
  <c r="S39" i="21"/>
  <c r="AF39" i="21"/>
  <c r="AI39" i="21"/>
  <c r="Z31" i="21"/>
  <c r="AB31" i="21"/>
  <c r="P31" i="21"/>
  <c r="AA31" i="21"/>
  <c r="AE31" i="21"/>
  <c r="AF31" i="21"/>
  <c r="Y31" i="21"/>
  <c r="AI31" i="21"/>
  <c r="R31" i="21"/>
  <c r="V31" i="21"/>
  <c r="AH31" i="21"/>
  <c r="Q31" i="21"/>
  <c r="I31" i="21"/>
  <c r="J32" i="21" s="1"/>
  <c r="W31" i="21"/>
  <c r="T31" i="21"/>
  <c r="X31" i="21"/>
  <c r="AJ31" i="21"/>
  <c r="O31" i="21"/>
  <c r="AC31" i="21"/>
  <c r="U31" i="21"/>
  <c r="S31" i="21"/>
  <c r="AD31" i="21"/>
  <c r="AG31" i="21"/>
  <c r="X56" i="21"/>
  <c r="AG56" i="21"/>
  <c r="Y56" i="21"/>
  <c r="Q56" i="21"/>
  <c r="V56" i="21"/>
  <c r="T56" i="21"/>
  <c r="AI56" i="21"/>
  <c r="AA56" i="21"/>
  <c r="S56" i="21"/>
  <c r="AJ56" i="21"/>
  <c r="AB56" i="21"/>
  <c r="I56" i="21"/>
  <c r="J57" i="21" s="1"/>
  <c r="AE56" i="21"/>
  <c r="W56" i="21"/>
  <c r="AF56" i="21"/>
  <c r="Z56" i="21"/>
  <c r="AD56" i="21"/>
  <c r="P56" i="21"/>
  <c r="U56" i="21"/>
  <c r="R56" i="21"/>
  <c r="AC56" i="21"/>
  <c r="AH56" i="21"/>
  <c r="W34" i="21"/>
  <c r="T34" i="21"/>
  <c r="S34" i="21"/>
  <c r="I34" i="21"/>
  <c r="J35" i="21" s="1"/>
  <c r="AG34" i="21"/>
  <c r="AH34" i="21"/>
  <c r="AD34" i="21"/>
  <c r="AB34" i="21"/>
  <c r="V34" i="21"/>
  <c r="Q34" i="21"/>
  <c r="AI34" i="21"/>
  <c r="Y34" i="21"/>
  <c r="X34" i="21"/>
  <c r="U34" i="21"/>
  <c r="AE34" i="21"/>
  <c r="AA34" i="21"/>
  <c r="AJ34" i="21"/>
  <c r="R34" i="21"/>
  <c r="AF34" i="21"/>
  <c r="Z34" i="21"/>
  <c r="AC34" i="21"/>
  <c r="P34" i="21"/>
  <c r="AB50" i="21"/>
  <c r="AC50" i="21"/>
  <c r="U50" i="21"/>
  <c r="AD50" i="21"/>
  <c r="T50" i="21"/>
  <c r="I50" i="21"/>
  <c r="J51" i="21" s="1"/>
  <c r="AE50" i="21"/>
  <c r="W50" i="21"/>
  <c r="Z50" i="21"/>
  <c r="AF50" i="21"/>
  <c r="AI50" i="21"/>
  <c r="AA50" i="21"/>
  <c r="S50" i="21"/>
  <c r="Y50" i="21"/>
  <c r="AH50" i="21"/>
  <c r="AG50" i="21"/>
  <c r="V50" i="21"/>
  <c r="AJ50" i="21"/>
  <c r="X50" i="21"/>
  <c r="P50" i="21"/>
  <c r="Q50" i="21"/>
  <c r="R50" i="21"/>
  <c r="P42" i="21"/>
  <c r="AI42" i="21"/>
  <c r="AA42" i="21"/>
  <c r="S42" i="21"/>
  <c r="AF42" i="21"/>
  <c r="AC42" i="21"/>
  <c r="U42" i="21"/>
  <c r="Z42" i="21"/>
  <c r="V42" i="21"/>
  <c r="T42" i="21"/>
  <c r="AG42" i="21"/>
  <c r="Y42" i="21"/>
  <c r="Q42" i="21"/>
  <c r="X42" i="21"/>
  <c r="W42" i="21"/>
  <c r="AJ42" i="21"/>
  <c r="AB42" i="21"/>
  <c r="AE42" i="21"/>
  <c r="R42" i="21"/>
  <c r="I42" i="21"/>
  <c r="J43" i="21" s="1"/>
  <c r="AH42" i="21"/>
  <c r="AD42" i="21"/>
  <c r="AD74" i="21"/>
  <c r="X74" i="21"/>
  <c r="U74" i="21"/>
  <c r="AC74" i="21"/>
  <c r="AH74" i="21"/>
  <c r="T74" i="21"/>
  <c r="AJ74" i="21"/>
  <c r="S74" i="21"/>
  <c r="AA74" i="21"/>
  <c r="AI74" i="21"/>
  <c r="I74" i="21"/>
  <c r="J75" i="21" s="1"/>
  <c r="R74" i="21"/>
  <c r="V74" i="21"/>
  <c r="AB74" i="21"/>
  <c r="W74" i="21"/>
  <c r="AE74" i="21"/>
  <c r="AG74" i="21"/>
  <c r="Z74" i="21"/>
  <c r="AF74" i="21"/>
  <c r="Y74" i="21"/>
  <c r="P74" i="21"/>
  <c r="Q74" i="21"/>
  <c r="AH37" i="21"/>
  <c r="Z37" i="21"/>
  <c r="R37" i="21"/>
  <c r="AG37" i="21"/>
  <c r="Q37" i="21"/>
  <c r="W37" i="21"/>
  <c r="AJ37" i="21"/>
  <c r="AB37" i="21"/>
  <c r="T37" i="21"/>
  <c r="U37" i="21"/>
  <c r="AA37" i="21"/>
  <c r="AF37" i="21"/>
  <c r="X37" i="21"/>
  <c r="P37" i="21"/>
  <c r="AC37" i="21"/>
  <c r="AI37" i="21"/>
  <c r="S37" i="21"/>
  <c r="V37" i="21"/>
  <c r="AD37" i="21"/>
  <c r="AE37" i="21"/>
  <c r="Y37" i="21"/>
  <c r="I37" i="21"/>
  <c r="J38" i="21" s="1"/>
  <c r="F330" i="1" l="1"/>
  <c r="G330" i="1" s="1"/>
  <c r="H330" i="1" s="1"/>
  <c r="I330" i="1" s="1"/>
  <c r="J330" i="1" s="1"/>
  <c r="E12" i="16"/>
  <c r="D12" i="16" s="1"/>
  <c r="H12" i="16" s="1"/>
  <c r="G12" i="16"/>
  <c r="G9" i="9"/>
  <c r="F65" i="9"/>
  <c r="F56" i="9"/>
  <c r="D9" i="9"/>
  <c r="E17" i="9"/>
  <c r="G337" i="1"/>
  <c r="A16" i="21"/>
  <c r="S14" i="21" s="1"/>
  <c r="AF13" i="21"/>
  <c r="V13" i="21"/>
  <c r="W13" i="21"/>
  <c r="Z13" i="21"/>
  <c r="Y14" i="21"/>
  <c r="U13" i="21"/>
  <c r="AC14" i="21"/>
  <c r="AB13" i="21"/>
  <c r="AA14" i="21"/>
  <c r="T13" i="21"/>
  <c r="P14" i="21"/>
  <c r="AA13" i="21"/>
  <c r="W14" i="21"/>
  <c r="AE14" i="21"/>
  <c r="T14" i="21"/>
  <c r="O13" i="21"/>
  <c r="AC13" i="21"/>
  <c r="S13" i="21"/>
  <c r="U14" i="21"/>
  <c r="P13" i="21"/>
  <c r="AG14" i="21"/>
  <c r="I14" i="21"/>
  <c r="J15" i="21" s="1"/>
  <c r="AH13" i="21" s="1"/>
  <c r="AG13" i="21"/>
  <c r="AI13" i="21"/>
  <c r="Q14" i="21"/>
  <c r="R13" i="21"/>
  <c r="Q13" i="21"/>
  <c r="V14" i="21"/>
  <c r="AJ13" i="21"/>
  <c r="AH14" i="21"/>
  <c r="AE13" i="21"/>
  <c r="X14" i="21"/>
  <c r="X13" i="21"/>
  <c r="AF14" i="21"/>
  <c r="H10" i="16"/>
  <c r="G316" i="1"/>
  <c r="F322" i="1"/>
  <c r="D19" i="21"/>
  <c r="C19" i="21" s="1"/>
  <c r="G19" i="21" s="1"/>
  <c r="F19" i="21"/>
  <c r="Y13" i="21"/>
  <c r="C56" i="9"/>
  <c r="B57" i="9"/>
  <c r="E9" i="9" l="1"/>
  <c r="D56" i="9"/>
  <c r="G13" i="16"/>
  <c r="E13" i="16"/>
  <c r="D13" i="16" s="1"/>
  <c r="H13" i="16" s="1"/>
  <c r="AD14" i="21"/>
  <c r="AB14" i="21"/>
  <c r="G67" i="9"/>
  <c r="G69" i="9" s="1"/>
  <c r="G56" i="9"/>
  <c r="B64" i="9"/>
  <c r="F57" i="9"/>
  <c r="D121" i="1"/>
  <c r="C57" i="9"/>
  <c r="D122" i="1" s="1"/>
  <c r="F337" i="1"/>
  <c r="Z14" i="21"/>
  <c r="R14" i="21"/>
  <c r="AJ14" i="21"/>
  <c r="O14" i="21"/>
  <c r="AI14" i="21"/>
  <c r="G322" i="1"/>
  <c r="H316" i="1"/>
  <c r="D20" i="21"/>
  <c r="C20" i="21" s="1"/>
  <c r="G20" i="21" s="1"/>
  <c r="F20" i="21"/>
  <c r="A17" i="21"/>
  <c r="AJ15" i="21" s="1"/>
  <c r="I15" i="21"/>
  <c r="J16" i="21" s="1"/>
  <c r="AD15" i="21" l="1"/>
  <c r="U15" i="21"/>
  <c r="R15" i="21"/>
  <c r="AC15" i="21"/>
  <c r="AA15" i="21"/>
  <c r="AH15" i="21"/>
  <c r="F121" i="1"/>
  <c r="G57" i="9"/>
  <c r="B65" i="9"/>
  <c r="B66" i="9" s="1"/>
  <c r="G14" i="16"/>
  <c r="E14" i="16"/>
  <c r="D14" i="16" s="1"/>
  <c r="H14" i="16" s="1"/>
  <c r="H337" i="1" s="1"/>
  <c r="V15" i="21"/>
  <c r="E56" i="9"/>
  <c r="D57" i="9"/>
  <c r="P15" i="21"/>
  <c r="W15" i="21"/>
  <c r="Z15" i="21"/>
  <c r="X15" i="21"/>
  <c r="S15" i="21"/>
  <c r="AB15" i="21"/>
  <c r="Q15" i="21"/>
  <c r="AG15" i="21"/>
  <c r="Y15" i="21"/>
  <c r="I16" i="21"/>
  <c r="J17" i="21" s="1"/>
  <c r="A18" i="21"/>
  <c r="R16" i="21" s="1"/>
  <c r="Q16" i="21"/>
  <c r="AD16" i="21"/>
  <c r="O16" i="21"/>
  <c r="AG16" i="21"/>
  <c r="Z16" i="21"/>
  <c r="O15" i="21"/>
  <c r="AE15" i="21"/>
  <c r="T15" i="21"/>
  <c r="AF15" i="21"/>
  <c r="AI15" i="21"/>
  <c r="D21" i="21"/>
  <c r="F21" i="21"/>
  <c r="F24" i="21"/>
  <c r="H322" i="1"/>
  <c r="I316" i="1"/>
  <c r="V16" i="21" l="1"/>
  <c r="E57" i="9"/>
  <c r="E122" i="1" s="1"/>
  <c r="E121" i="1"/>
  <c r="W16" i="21"/>
  <c r="AA16" i="21"/>
  <c r="G15" i="16"/>
  <c r="E15" i="16"/>
  <c r="AC16" i="21"/>
  <c r="AJ16" i="21"/>
  <c r="E315" i="1"/>
  <c r="D323" i="1"/>
  <c r="D26" i="1"/>
  <c r="F122" i="1"/>
  <c r="J316" i="1"/>
  <c r="J322" i="1" s="1"/>
  <c r="I322" i="1"/>
  <c r="C21" i="21"/>
  <c r="AH16" i="21"/>
  <c r="AF16" i="21"/>
  <c r="AE16" i="21"/>
  <c r="U16" i="21"/>
  <c r="AI16" i="21"/>
  <c r="A19" i="21"/>
  <c r="AE17" i="21" s="1"/>
  <c r="I17" i="21"/>
  <c r="J18" i="21" s="1"/>
  <c r="Z17" i="21"/>
  <c r="P16" i="21"/>
  <c r="F22" i="21"/>
  <c r="H6" i="21" s="1"/>
  <c r="D22" i="21"/>
  <c r="C22" i="21" s="1"/>
  <c r="G22" i="21" s="1"/>
  <c r="S16" i="21"/>
  <c r="T16" i="21"/>
  <c r="AB16" i="21"/>
  <c r="X16" i="21"/>
  <c r="Y16" i="21"/>
  <c r="F315" i="1" l="1"/>
  <c r="E323" i="1"/>
  <c r="D15" i="16"/>
  <c r="G16" i="16"/>
  <c r="E16" i="16"/>
  <c r="D16" i="16" s="1"/>
  <c r="H16" i="16" s="1"/>
  <c r="AD17" i="21"/>
  <c r="A20" i="21"/>
  <c r="Y18" i="21" s="1"/>
  <c r="I18" i="21"/>
  <c r="J19" i="21" s="1"/>
  <c r="AJ17" i="21" s="1"/>
  <c r="G21" i="21"/>
  <c r="C24" i="21"/>
  <c r="U17" i="21"/>
  <c r="AA17" i="21"/>
  <c r="Q17" i="21"/>
  <c r="V17" i="21"/>
  <c r="AH17" i="21"/>
  <c r="P17" i="21"/>
  <c r="D24" i="21"/>
  <c r="O17" i="21"/>
  <c r="T17" i="21"/>
  <c r="AI17" i="21"/>
  <c r="AB17" i="21"/>
  <c r="AG17" i="21"/>
  <c r="S17" i="21"/>
  <c r="AC17" i="21"/>
  <c r="W17" i="21"/>
  <c r="Y17" i="21"/>
  <c r="AF17" i="21"/>
  <c r="X17" i="21"/>
  <c r="R17" i="21"/>
  <c r="H15" i="16" l="1"/>
  <c r="E17" i="16"/>
  <c r="D17" i="16" s="1"/>
  <c r="H17" i="16" s="1"/>
  <c r="G17" i="16"/>
  <c r="E336" i="1"/>
  <c r="E338" i="1" s="1"/>
  <c r="E340" i="1" s="1"/>
  <c r="F339" i="1" s="1"/>
  <c r="H26" i="1"/>
  <c r="G315" i="1"/>
  <c r="F323" i="1"/>
  <c r="F336" i="1" s="1"/>
  <c r="F338" i="1" s="1"/>
  <c r="X18" i="21"/>
  <c r="AG18" i="21"/>
  <c r="Z18" i="21"/>
  <c r="AD18" i="21"/>
  <c r="P18" i="21"/>
  <c r="AF18" i="21"/>
  <c r="S18" i="21"/>
  <c r="AH18" i="21"/>
  <c r="AJ18" i="21"/>
  <c r="T18" i="21"/>
  <c r="G24" i="21"/>
  <c r="H22" i="21"/>
  <c r="H24" i="21" s="1"/>
  <c r="Q18" i="21"/>
  <c r="U18" i="21"/>
  <c r="AB18" i="21"/>
  <c r="AI18" i="21"/>
  <c r="AE18" i="21"/>
  <c r="I19" i="21"/>
  <c r="J20" i="21" s="1"/>
  <c r="A21" i="21"/>
  <c r="T19" i="21" s="1"/>
  <c r="AA18" i="21"/>
  <c r="V18" i="21"/>
  <c r="R18" i="21"/>
  <c r="O18" i="21"/>
  <c r="W18" i="21"/>
  <c r="AC18" i="21"/>
  <c r="F340" i="1" l="1"/>
  <c r="G339" i="1" s="1"/>
  <c r="AG19" i="21"/>
  <c r="X19" i="21"/>
  <c r="AJ19" i="21"/>
  <c r="V19" i="21"/>
  <c r="U19" i="21"/>
  <c r="G18" i="16"/>
  <c r="E18" i="16"/>
  <c r="AC19" i="21"/>
  <c r="AI19" i="21"/>
  <c r="H315" i="1"/>
  <c r="G323" i="1"/>
  <c r="G336" i="1" s="1"/>
  <c r="G338" i="1" s="1"/>
  <c r="G340" i="1" s="1"/>
  <c r="H339" i="1" s="1"/>
  <c r="P19" i="21"/>
  <c r="I337" i="1"/>
  <c r="O20" i="21"/>
  <c r="A22" i="21"/>
  <c r="Z20" i="21"/>
  <c r="I20" i="21"/>
  <c r="J21" i="21" s="1"/>
  <c r="S20" i="21"/>
  <c r="P20" i="21"/>
  <c r="U20" i="21"/>
  <c r="AG20" i="21"/>
  <c r="AC20" i="21"/>
  <c r="R20" i="21"/>
  <c r="AH20" i="21"/>
  <c r="Q20" i="21"/>
  <c r="W20" i="21"/>
  <c r="AA20" i="21"/>
  <c r="AE20" i="21"/>
  <c r="AB20" i="21"/>
  <c r="Y20" i="21"/>
  <c r="W19" i="21"/>
  <c r="O19" i="21"/>
  <c r="AB19" i="21"/>
  <c r="R19" i="21"/>
  <c r="S19" i="21"/>
  <c r="Q19" i="21"/>
  <c r="AH19" i="21"/>
  <c r="H8" i="21"/>
  <c r="G3" i="21"/>
  <c r="G4" i="21"/>
  <c r="AA19" i="21"/>
  <c r="AD19" i="21"/>
  <c r="Y19" i="21"/>
  <c r="Z19" i="21"/>
  <c r="AE19" i="21"/>
  <c r="AF19" i="21"/>
  <c r="D18" i="16" l="1"/>
  <c r="E19" i="16"/>
  <c r="I315" i="1"/>
  <c r="H323" i="1"/>
  <c r="H336" i="1" s="1"/>
  <c r="H338" i="1" s="1"/>
  <c r="H340" i="1" s="1"/>
  <c r="I339" i="1" s="1"/>
  <c r="AC21" i="21"/>
  <c r="X21" i="21"/>
  <c r="O21" i="21"/>
  <c r="L4" i="21" s="1"/>
  <c r="R21" i="21"/>
  <c r="Z21" i="21"/>
  <c r="L5" i="21" s="1"/>
  <c r="W21" i="21"/>
  <c r="S21" i="21"/>
  <c r="P21" i="21"/>
  <c r="AF21" i="21"/>
  <c r="AJ21" i="21"/>
  <c r="AG21" i="21"/>
  <c r="AD21" i="21"/>
  <c r="AE21" i="21"/>
  <c r="AA21" i="21"/>
  <c r="AI21" i="21"/>
  <c r="V21" i="21"/>
  <c r="U21" i="21"/>
  <c r="Y21" i="21"/>
  <c r="I21" i="21"/>
  <c r="J22" i="21" s="1"/>
  <c r="I6" i="21" s="1"/>
  <c r="AB21" i="21"/>
  <c r="AH21" i="21"/>
  <c r="T21" i="21"/>
  <c r="Q21" i="21"/>
  <c r="V20" i="21"/>
  <c r="AD20" i="21"/>
  <c r="AJ20" i="21"/>
  <c r="AI20" i="21"/>
  <c r="X20" i="21"/>
  <c r="T20" i="21"/>
  <c r="AF20" i="21"/>
  <c r="J315" i="1" l="1"/>
  <c r="J323" i="1" s="1"/>
  <c r="J336" i="1" s="1"/>
  <c r="I323" i="1"/>
  <c r="I336" i="1" s="1"/>
  <c r="I338" i="1" s="1"/>
  <c r="I340" i="1" s="1"/>
  <c r="J339" i="1" s="1"/>
  <c r="D19" i="16"/>
  <c r="L7" i="21"/>
  <c r="N4" i="21"/>
  <c r="L6" i="21"/>
  <c r="L8" i="21"/>
  <c r="N5" i="21"/>
  <c r="N6" i="21" s="1"/>
  <c r="J337" i="1" l="1"/>
  <c r="J338" i="1" s="1"/>
  <c r="J340" i="1" s="1"/>
  <c r="H19" i="16"/>
  <c r="H20" i="16" s="1"/>
  <c r="L9" i="21"/>
  <c r="N8" i="21"/>
  <c r="N9" i="21" s="1"/>
  <c r="L11" i="21"/>
  <c r="N7" i="21"/>
  <c r="L10" i="21"/>
  <c r="L12" i="21" l="1"/>
  <c r="N11" i="21"/>
  <c r="N12" i="21" s="1"/>
  <c r="L14" i="21"/>
  <c r="L13" i="21"/>
  <c r="N10" i="21"/>
  <c r="N13" i="21" l="1"/>
  <c r="L16" i="21"/>
  <c r="L15" i="21"/>
  <c r="L17" i="21"/>
  <c r="N14" i="21"/>
  <c r="N15" i="21" s="1"/>
  <c r="L18" i="21" l="1"/>
  <c r="N17" i="21"/>
  <c r="N18" i="21" s="1"/>
  <c r="L20" i="21"/>
  <c r="L19" i="21"/>
  <c r="N16" i="21"/>
  <c r="N19" i="21" l="1"/>
  <c r="L22" i="21"/>
  <c r="L21" i="21"/>
  <c r="N20" i="21"/>
  <c r="N21" i="21" s="1"/>
  <c r="L23" i="21"/>
  <c r="L24" i="21" l="1"/>
  <c r="L26" i="21"/>
  <c r="N23" i="21"/>
  <c r="N24" i="21" s="1"/>
  <c r="N22" i="21"/>
  <c r="L25" i="21"/>
  <c r="L28" i="21" s="1"/>
  <c r="L31" i="21" s="1"/>
  <c r="L34" i="21" s="1"/>
  <c r="N34" i="21" s="1"/>
  <c r="L27" i="21" l="1"/>
  <c r="L29" i="21"/>
  <c r="N31" i="21"/>
  <c r="N25" i="21"/>
  <c r="I4" i="21"/>
  <c r="N28" i="21"/>
  <c r="L30" i="21" l="1"/>
  <c r="L32" i="21"/>
  <c r="L35" i="21" l="1"/>
  <c r="N32" i="21" s="1"/>
  <c r="N33" i="21" s="1"/>
  <c r="L33" i="21"/>
  <c r="N26" i="21" l="1"/>
  <c r="N27" i="21" s="1"/>
  <c r="N29" i="21"/>
  <c r="N30" i="21" s="1"/>
  <c r="N35" i="21"/>
  <c r="N36" i="21" s="1"/>
  <c r="L36" i="21"/>
</calcChain>
</file>

<file path=xl/comments1.xml><?xml version="1.0" encoding="utf-8"?>
<comments xmlns="http://schemas.openxmlformats.org/spreadsheetml/2006/main">
  <authors>
    <author>坤FL</author>
  </authors>
  <commentList>
    <comment ref="H18" authorId="0" shapeId="0">
      <text>
        <r>
          <rPr>
            <b/>
            <sz val="9"/>
            <color indexed="81"/>
            <rFont val="宋体"/>
            <family val="3"/>
            <charset val="134"/>
          </rPr>
          <t>坤FL:</t>
        </r>
        <r>
          <rPr>
            <sz val="9"/>
            <color indexed="81"/>
            <rFont val="宋体"/>
            <family val="3"/>
            <charset val="134"/>
          </rPr>
          <t xml:space="preserve">
此处有疑有错误</t>
        </r>
      </text>
    </comment>
  </commentList>
</comments>
</file>

<file path=xl/comments2.xml><?xml version="1.0" encoding="utf-8"?>
<comments xmlns="http://schemas.openxmlformats.org/spreadsheetml/2006/main">
  <authors>
    <author>huanxueyong</author>
    <author>weiyongjun</author>
  </authors>
  <commentList>
    <comment ref="B46" authorId="0" shapeId="0">
      <text>
        <r>
          <rPr>
            <b/>
            <sz val="10"/>
            <color indexed="81"/>
            <rFont val="宋体"/>
            <family val="3"/>
            <charset val="134"/>
          </rPr>
          <t>huanxueyong:</t>
        </r>
        <r>
          <rPr>
            <sz val="10"/>
            <color indexed="81"/>
            <rFont val="宋体"/>
            <family val="3"/>
            <charset val="134"/>
          </rPr>
          <t xml:space="preserve">
教职工人数，专任教师,高级职称人数,</t>
        </r>
      </text>
    </comment>
    <comment ref="I150" authorId="1" shapeId="0">
      <text>
        <r>
          <rPr>
            <b/>
            <sz val="9"/>
            <color indexed="81"/>
            <rFont val="宋体"/>
            <family val="3"/>
            <charset val="134"/>
          </rPr>
          <t>weiyongjun:</t>
        </r>
        <r>
          <rPr>
            <sz val="9"/>
            <color indexed="81"/>
            <rFont val="宋体"/>
            <family val="3"/>
            <charset val="134"/>
          </rPr>
          <t xml:space="preserve">
主要是质保金。</t>
        </r>
      </text>
    </comment>
    <comment ref="B204" authorId="1" shapeId="0">
      <text>
        <r>
          <rPr>
            <sz val="9"/>
            <color indexed="81"/>
            <rFont val="宋体"/>
            <family val="3"/>
            <charset val="134"/>
          </rPr>
          <t xml:space="preserve">
职工集资，委托贷款。谢主任介绍，到期必须续贷。</t>
        </r>
      </text>
    </comment>
    <comment ref="B206" authorId="1" shapeId="0">
      <text>
        <r>
          <rPr>
            <sz val="9"/>
            <color indexed="81"/>
            <rFont val="宋体"/>
            <family val="3"/>
            <charset val="134"/>
          </rPr>
          <t xml:space="preserve">
职工集资，委托贷款。谢主任介绍，到期必须续贷。</t>
        </r>
      </text>
    </comment>
    <comment ref="B208" authorId="1" shapeId="0">
      <text>
        <r>
          <rPr>
            <sz val="9"/>
            <color indexed="81"/>
            <rFont val="宋体"/>
            <family val="3"/>
            <charset val="134"/>
          </rPr>
          <t xml:space="preserve">
职工集资，委托贷款。谢主任介绍，到期必须续贷。</t>
        </r>
      </text>
    </comment>
    <comment ref="B210" authorId="1" shapeId="0">
      <text>
        <r>
          <rPr>
            <sz val="9"/>
            <color indexed="81"/>
            <rFont val="宋体"/>
            <family val="3"/>
            <charset val="134"/>
          </rPr>
          <t xml:space="preserve">
职工集资，委托贷款。谢主任介绍，到期必须续贷。</t>
        </r>
      </text>
    </comment>
    <comment ref="B212" authorId="1" shapeId="0">
      <text>
        <r>
          <rPr>
            <sz val="9"/>
            <color indexed="81"/>
            <rFont val="宋体"/>
            <family val="3"/>
            <charset val="134"/>
          </rPr>
          <t xml:space="preserve">
职工集资，委托贷款。谢主任介绍，到期必须续贷。</t>
        </r>
      </text>
    </comment>
    <comment ref="B214" authorId="1" shapeId="0">
      <text>
        <r>
          <rPr>
            <sz val="9"/>
            <color indexed="81"/>
            <rFont val="宋体"/>
            <family val="3"/>
            <charset val="134"/>
          </rPr>
          <t xml:space="preserve">
职工集资，委托贷款。谢主任介绍，到期必须续贷。</t>
        </r>
      </text>
    </comment>
    <comment ref="B216" authorId="1" shapeId="0">
      <text>
        <r>
          <rPr>
            <sz val="9"/>
            <color indexed="81"/>
            <rFont val="宋体"/>
            <family val="3"/>
            <charset val="134"/>
          </rPr>
          <t xml:space="preserve">
09年新增的。</t>
        </r>
      </text>
    </comment>
    <comment ref="B218" authorId="1" shapeId="0">
      <text>
        <r>
          <rPr>
            <sz val="9"/>
            <color indexed="81"/>
            <rFont val="宋体"/>
            <family val="3"/>
            <charset val="134"/>
          </rPr>
          <t xml:space="preserve">
09年新增的。</t>
        </r>
      </text>
    </comment>
    <comment ref="B242" authorId="1" shapeId="0">
      <text>
        <r>
          <rPr>
            <sz val="9"/>
            <color indexed="81"/>
            <rFont val="宋体"/>
            <family val="3"/>
            <charset val="134"/>
          </rPr>
          <t xml:space="preserve">
09年新增。</t>
        </r>
      </text>
    </comment>
    <comment ref="B244" authorId="1" shapeId="0">
      <text>
        <r>
          <rPr>
            <sz val="9"/>
            <color indexed="81"/>
            <rFont val="宋体"/>
            <family val="3"/>
            <charset val="134"/>
          </rPr>
          <t xml:space="preserve">
09年新增。</t>
        </r>
      </text>
    </comment>
  </commentList>
</comments>
</file>

<file path=xl/comments3.xml><?xml version="1.0" encoding="utf-8"?>
<comments xmlns="http://schemas.openxmlformats.org/spreadsheetml/2006/main">
  <authors>
    <author>User</author>
  </authors>
  <commentList>
    <comment ref="B14" authorId="0" shapeId="0">
      <text>
        <r>
          <rPr>
            <b/>
            <sz val="9"/>
            <color indexed="81"/>
            <rFont val="宋体"/>
            <family val="3"/>
            <charset val="134"/>
          </rPr>
          <t>User:</t>
        </r>
        <r>
          <rPr>
            <sz val="9"/>
            <color indexed="81"/>
            <rFont val="宋体"/>
            <family val="3"/>
            <charset val="134"/>
          </rPr>
          <t xml:space="preserve">
过程管中发现的有重大影响的事件描述分析</t>
        </r>
      </text>
    </comment>
    <comment ref="B15" authorId="0" shapeId="0">
      <text>
        <r>
          <rPr>
            <b/>
            <sz val="9"/>
            <color indexed="81"/>
            <rFont val="宋体"/>
            <family val="3"/>
            <charset val="134"/>
          </rPr>
          <t>User:</t>
        </r>
        <r>
          <rPr>
            <sz val="9"/>
            <color indexed="81"/>
            <rFont val="宋体"/>
            <family val="3"/>
            <charset val="134"/>
          </rPr>
          <t xml:space="preserve">
前几期项目中风险管理政策清单中提及的风险点及管理要求的回顾</t>
        </r>
      </text>
    </comment>
  </commentList>
</comments>
</file>

<file path=xl/comments4.xml><?xml version="1.0" encoding="utf-8"?>
<comments xmlns="http://schemas.openxmlformats.org/spreadsheetml/2006/main">
  <authors>
    <author>weiyongjun</author>
  </authors>
  <commentList>
    <comment ref="F60" authorId="0" shapeId="0">
      <text>
        <r>
          <rPr>
            <b/>
            <sz val="9"/>
            <color indexed="81"/>
            <rFont val="宋体"/>
            <family val="3"/>
            <charset val="134"/>
          </rPr>
          <t>马安:</t>
        </r>
        <r>
          <rPr>
            <sz val="9"/>
            <color indexed="81"/>
            <rFont val="宋体"/>
            <family val="3"/>
            <charset val="134"/>
          </rPr>
          <t xml:space="preserve">
剔除08年XX学院上缴的1800万。</t>
        </r>
      </text>
    </comment>
    <comment ref="F66" authorId="0" shapeId="0">
      <text>
        <r>
          <rPr>
            <b/>
            <sz val="9"/>
            <color indexed="81"/>
            <rFont val="宋体"/>
            <family val="3"/>
            <charset val="134"/>
          </rPr>
          <t>马安:</t>
        </r>
        <r>
          <rPr>
            <sz val="9"/>
            <color indexed="81"/>
            <rFont val="宋体"/>
            <family val="3"/>
            <charset val="134"/>
          </rPr>
          <t xml:space="preserve">
假设X大没有1800万的额外收入，08年固定资产购建支出因此而减少1800万。</t>
        </r>
      </text>
    </comment>
    <comment ref="G66" authorId="0" shapeId="0">
      <text>
        <r>
          <rPr>
            <b/>
            <sz val="9"/>
            <color indexed="81"/>
            <rFont val="宋体"/>
            <family val="3"/>
            <charset val="134"/>
          </rPr>
          <t>马安:</t>
        </r>
        <r>
          <rPr>
            <sz val="9"/>
            <color indexed="81"/>
            <rFont val="宋体"/>
            <family val="3"/>
            <charset val="134"/>
          </rPr>
          <t xml:space="preserve">
假设X大08年没有1800万的额外收入，固定资产购建因此而减少900万。</t>
        </r>
      </text>
    </comment>
  </commentList>
</comments>
</file>

<file path=xl/sharedStrings.xml><?xml version="1.0" encoding="utf-8"?>
<sst xmlns="http://schemas.openxmlformats.org/spreadsheetml/2006/main" count="904" uniqueCount="743">
  <si>
    <t>研究生</t>
    <phoneticPr fontId="2" type="noConversion"/>
  </si>
  <si>
    <t>全国,主要是陕西。</t>
    <phoneticPr fontId="2" type="noConversion"/>
  </si>
  <si>
    <t>3450万</t>
    <phoneticPr fontId="2" type="noConversion"/>
  </si>
  <si>
    <t>优秀</t>
    <phoneticPr fontId="2" type="noConversion"/>
  </si>
  <si>
    <t>内容，变化分析：主要是行政和基建帐户的银行存，学校09年新增了银行贷款和委托贷款，故银行存款很大。</t>
    <phoneticPr fontId="2" type="noConversion"/>
  </si>
  <si>
    <t>基本账户</t>
    <phoneticPr fontId="2" type="noConversion"/>
  </si>
  <si>
    <t>学费专户</t>
    <phoneticPr fontId="2" type="noConversion"/>
  </si>
  <si>
    <t>工资专户</t>
    <phoneticPr fontId="2" type="noConversion"/>
  </si>
  <si>
    <t>济困专户</t>
    <phoneticPr fontId="2" type="noConversion"/>
  </si>
  <si>
    <t>教科文基金户</t>
    <phoneticPr fontId="2" type="noConversion"/>
  </si>
  <si>
    <t>助学贷款户</t>
    <phoneticPr fontId="2" type="noConversion"/>
  </si>
  <si>
    <t>零余额账户</t>
    <phoneticPr fontId="2" type="noConversion"/>
  </si>
  <si>
    <t>基建专户</t>
    <phoneticPr fontId="2" type="noConversion"/>
  </si>
  <si>
    <t>一般账户</t>
    <phoneticPr fontId="2" type="noConversion"/>
  </si>
  <si>
    <t>行政</t>
    <phoneticPr fontId="2" type="noConversion"/>
  </si>
  <si>
    <t>基建</t>
    <phoneticPr fontId="2" type="noConversion"/>
  </si>
  <si>
    <t>账户性质</t>
    <phoneticPr fontId="2" type="noConversion"/>
  </si>
  <si>
    <t>2009年 8月</t>
    <phoneticPr fontId="2" type="noConversion"/>
  </si>
  <si>
    <t>代管款项</t>
    <phoneticPr fontId="2" type="noConversion"/>
  </si>
  <si>
    <t>查询学校基建账，学校2007年交付使用固定资产大概17731万，具体明细请查阅2007年交付使用固定资产，之后基本没有交付使用固定资产。2009年学校国有土地评估入账101507万。（土地按照市场价格重估计入固定资产，使固定资产虚增）</t>
    <phoneticPr fontId="2" type="noConversion"/>
  </si>
  <si>
    <t>利息支出仅指在行政表中反映，其余在基建帐反映。</t>
    <phoneticPr fontId="2" type="noConversion"/>
  </si>
  <si>
    <t>学校近几年收入增加，固定资产构建投入逐年增加，可支配比例也逐年增加，预计后期会保持一个增加的趋势。</t>
    <phoneticPr fontId="2" type="noConversion"/>
  </si>
  <si>
    <t>配套工程（含路面、三通一平、绿化等）-河堤工程</t>
    <phoneticPr fontId="2" type="noConversion"/>
  </si>
  <si>
    <t>新区2#公寓</t>
  </si>
  <si>
    <t>新区3#公寓</t>
  </si>
  <si>
    <t>新区4#公寓</t>
  </si>
  <si>
    <t>新区5#公寓</t>
  </si>
  <si>
    <t>医学院食堂</t>
    <phoneticPr fontId="2" type="noConversion"/>
  </si>
  <si>
    <t>2010年</t>
    <phoneticPr fontId="2" type="noConversion"/>
  </si>
  <si>
    <t>医学院大桥</t>
    <phoneticPr fontId="2" type="noConversion"/>
  </si>
  <si>
    <t>政府项目拨款</t>
    <phoneticPr fontId="2" type="noConversion"/>
  </si>
  <si>
    <t>合计</t>
    <phoneticPr fontId="2" type="noConversion"/>
  </si>
  <si>
    <t>主要依靠学校的自有资金、政府资金的申请以及我司资金。</t>
    <phoneticPr fontId="2" type="noConversion"/>
  </si>
  <si>
    <t>分析评价：学校目前的部分项目以及翠苑校区的投入计划主要依靠政府的项目拨款</t>
    <phoneticPr fontId="2" type="noConversion"/>
  </si>
  <si>
    <t>主要内容及额度构成及评价:2008年12月31日，应付工程款项572万，其他应付3493万（其中借附属医院1500万）。备注：报表数据于基建电脑台帐不符，该数据来自电脑基建台帐。</t>
    <phoneticPr fontId="2" type="noConversion"/>
  </si>
  <si>
    <t>查基建电脑台帐，2008年末基建借款37172万，09年8月20日基建借款为45730万。主要分布在农行16941万，光大银行3000万，民生3000万，中行6500万，浦发3000万，交行2000万，建行5000万。除农行的贷款外，其余主要是流动资金贷款。</t>
    <phoneticPr fontId="2" type="noConversion"/>
  </si>
  <si>
    <t>农行延安分行</t>
    <phoneticPr fontId="2" type="noConversion"/>
  </si>
  <si>
    <t>4月</t>
    <phoneticPr fontId="2" type="noConversion"/>
  </si>
  <si>
    <t>3月</t>
    <phoneticPr fontId="2" type="noConversion"/>
  </si>
  <si>
    <t>2月</t>
    <phoneticPr fontId="2" type="noConversion"/>
  </si>
  <si>
    <t>12月</t>
    <phoneticPr fontId="2" type="noConversion"/>
  </si>
  <si>
    <t>1月</t>
    <phoneticPr fontId="2" type="noConversion"/>
  </si>
  <si>
    <t>5月</t>
    <phoneticPr fontId="2" type="noConversion"/>
  </si>
  <si>
    <t>光大银行</t>
    <phoneticPr fontId="2" type="noConversion"/>
  </si>
  <si>
    <t>民生银行西安</t>
    <phoneticPr fontId="2" type="noConversion"/>
  </si>
  <si>
    <t>11月</t>
    <phoneticPr fontId="2" type="noConversion"/>
  </si>
  <si>
    <t>中国银行延安</t>
    <phoneticPr fontId="2" type="noConversion"/>
  </si>
  <si>
    <t>8月</t>
    <phoneticPr fontId="2" type="noConversion"/>
  </si>
  <si>
    <t>9月</t>
    <phoneticPr fontId="2" type="noConversion"/>
  </si>
  <si>
    <t>交行西安高新</t>
    <phoneticPr fontId="2" type="noConversion"/>
  </si>
  <si>
    <t>6月</t>
    <phoneticPr fontId="2" type="noConversion"/>
  </si>
  <si>
    <t>浦发西安</t>
    <phoneticPr fontId="2" type="noConversion"/>
  </si>
  <si>
    <t>建行延安</t>
    <phoneticPr fontId="2" type="noConversion"/>
  </si>
  <si>
    <t>10月</t>
    <phoneticPr fontId="2" type="noConversion"/>
  </si>
  <si>
    <t>工行宝塔支行</t>
    <phoneticPr fontId="2" type="noConversion"/>
  </si>
  <si>
    <t>无</t>
    <phoneticPr fontId="2" type="noConversion"/>
  </si>
  <si>
    <t>学校在建工程交付使用后的设备配套。</t>
    <phoneticPr fontId="2" type="noConversion"/>
  </si>
  <si>
    <t>根据学校的设备需求，未来3年每年支出1000万用于设备采购。</t>
    <phoneticPr fontId="2" type="noConversion"/>
  </si>
  <si>
    <t>银行较支持,并且随着信贷政策的宽松,学校融资环境趋好。</t>
    <phoneticPr fontId="2" type="noConversion"/>
  </si>
  <si>
    <t>保守测算，预计在今后几年在2007年的基础上不会有大的变化.</t>
    <phoneticPr fontId="2" type="noConversion"/>
  </si>
  <si>
    <t>学校的职工集资主要是通过农行的委托贷款集资的，根据谢主任的介绍，农行的委托贷款到期后均可以续贷。</t>
    <phoneticPr fontId="2" type="noConversion"/>
  </si>
  <si>
    <t>学校07年教学评估结束，评估结论优秀。因此短期为下一轮教评而大规模采购设备可能性较小。</t>
    <phoneticPr fontId="2" type="noConversion"/>
  </si>
  <si>
    <t>我司租金偿还（二期）</t>
    <phoneticPr fontId="2" type="noConversion"/>
  </si>
  <si>
    <t>集资余额</t>
    <phoneticPr fontId="2" type="noConversion"/>
  </si>
  <si>
    <t>教评影响</t>
    <phoneticPr fontId="2" type="noConversion"/>
  </si>
  <si>
    <t>收入</t>
    <phoneticPr fontId="2" type="noConversion"/>
  </si>
  <si>
    <t>基建投入</t>
    <phoneticPr fontId="2" type="noConversion"/>
  </si>
  <si>
    <t>购买教学设备及其他支出</t>
    <phoneticPr fontId="2" type="noConversion"/>
  </si>
  <si>
    <t>财务费用支出</t>
    <phoneticPr fontId="2" type="noConversion"/>
  </si>
  <si>
    <t>偿还集资款</t>
    <phoneticPr fontId="2" type="noConversion"/>
  </si>
  <si>
    <t>项目编号</t>
    <phoneticPr fontId="2" type="noConversion"/>
  </si>
  <si>
    <t>项目名称</t>
    <phoneticPr fontId="2" type="noConversion"/>
  </si>
  <si>
    <t>立项时间</t>
    <phoneticPr fontId="2" type="noConversion"/>
  </si>
  <si>
    <t>报告部门</t>
    <phoneticPr fontId="2" type="noConversion"/>
  </si>
  <si>
    <t>项目主办</t>
    <phoneticPr fontId="2" type="noConversion"/>
  </si>
  <si>
    <t>报告时间</t>
    <phoneticPr fontId="2" type="noConversion"/>
  </si>
  <si>
    <t>租赁类型</t>
    <phoneticPr fontId="2" type="noConversion"/>
  </si>
  <si>
    <t>承租客户</t>
    <phoneticPr fontId="2" type="noConversion"/>
  </si>
  <si>
    <t>首付款</t>
    <phoneticPr fontId="2" type="noConversion"/>
  </si>
  <si>
    <t>首付款比例</t>
    <phoneticPr fontId="2" type="noConversion"/>
  </si>
  <si>
    <t>保证金</t>
    <phoneticPr fontId="2" type="noConversion"/>
  </si>
  <si>
    <t>保证金比例</t>
    <phoneticPr fontId="2" type="noConversion"/>
  </si>
  <si>
    <t>明示利率</t>
    <phoneticPr fontId="2" type="noConversion"/>
  </si>
  <si>
    <t>融资金额</t>
    <phoneticPr fontId="2" type="noConversion"/>
  </si>
  <si>
    <t>融资比例</t>
    <phoneticPr fontId="2" type="noConversion"/>
  </si>
  <si>
    <t>还租间隔</t>
    <phoneticPr fontId="2" type="noConversion"/>
  </si>
  <si>
    <t>还租方式</t>
    <phoneticPr fontId="2" type="noConversion"/>
  </si>
  <si>
    <t>TCR</t>
    <phoneticPr fontId="2" type="noConversion"/>
  </si>
  <si>
    <t>实际利率</t>
    <phoneticPr fontId="2" type="noConversion"/>
  </si>
  <si>
    <t>客户名称</t>
    <phoneticPr fontId="2" type="noConversion"/>
  </si>
  <si>
    <t>法定地址</t>
    <phoneticPr fontId="2" type="noConversion"/>
  </si>
  <si>
    <t>邮政编码</t>
    <phoneticPr fontId="2" type="noConversion"/>
  </si>
  <si>
    <t>法定代表人</t>
    <phoneticPr fontId="2" type="noConversion"/>
  </si>
  <si>
    <t>主营业务范围</t>
    <phoneticPr fontId="2" type="noConversion"/>
  </si>
  <si>
    <t>预测假设</t>
    <phoneticPr fontId="2" type="noConversion"/>
  </si>
  <si>
    <t>其他</t>
    <phoneticPr fontId="2" type="noConversion"/>
  </si>
  <si>
    <t>留购价款</t>
    <phoneticPr fontId="2" type="noConversion"/>
  </si>
  <si>
    <t>半年</t>
  </si>
  <si>
    <t>流动资产</t>
    <phoneticPr fontId="2" type="noConversion"/>
  </si>
  <si>
    <t>对外投资</t>
    <phoneticPr fontId="2" type="noConversion"/>
  </si>
  <si>
    <t>固定资产原值</t>
    <phoneticPr fontId="2" type="noConversion"/>
  </si>
  <si>
    <t>财政应返还额度</t>
    <phoneticPr fontId="2" type="noConversion"/>
  </si>
  <si>
    <t>应缴预算款</t>
    <phoneticPr fontId="2" type="noConversion"/>
  </si>
  <si>
    <t>应缴财政专户款</t>
    <phoneticPr fontId="2" type="noConversion"/>
  </si>
  <si>
    <t>事业基金</t>
    <phoneticPr fontId="2" type="noConversion"/>
  </si>
  <si>
    <t>比例</t>
    <phoneticPr fontId="2" type="noConversion"/>
  </si>
  <si>
    <t>财政拨款</t>
    <phoneticPr fontId="2" type="noConversion"/>
  </si>
  <si>
    <t>事业收入</t>
    <phoneticPr fontId="2" type="noConversion"/>
  </si>
  <si>
    <t>其他收入</t>
    <phoneticPr fontId="2" type="noConversion"/>
  </si>
  <si>
    <t>人员支出</t>
    <phoneticPr fontId="2" type="noConversion"/>
  </si>
  <si>
    <t>资金来源</t>
    <phoneticPr fontId="2" type="noConversion"/>
  </si>
  <si>
    <t>开工时间</t>
    <phoneticPr fontId="2" type="noConversion"/>
  </si>
  <si>
    <t>竣工时间</t>
    <phoneticPr fontId="2" type="noConversion"/>
  </si>
  <si>
    <t>法人证书编号</t>
    <phoneticPr fontId="2" type="noConversion"/>
  </si>
  <si>
    <t>组织机构代码</t>
    <phoneticPr fontId="2" type="noConversion"/>
  </si>
  <si>
    <t>主管机关</t>
    <phoneticPr fontId="2" type="noConversion"/>
  </si>
  <si>
    <t>行政级别</t>
    <phoneticPr fontId="2" type="noConversion"/>
  </si>
  <si>
    <t>办学层次</t>
    <phoneticPr fontId="2" type="noConversion"/>
  </si>
  <si>
    <t>省内排名</t>
    <phoneticPr fontId="2" type="noConversion"/>
  </si>
  <si>
    <t xml:space="preserve"> 出租人</t>
    <phoneticPr fontId="2" type="noConversion"/>
  </si>
  <si>
    <t>IRR</t>
    <phoneticPr fontId="2" type="noConversion"/>
  </si>
  <si>
    <t>项目金额</t>
    <phoneticPr fontId="2" type="noConversion"/>
  </si>
  <si>
    <t>风险点</t>
  </si>
  <si>
    <t>书记</t>
    <phoneticPr fontId="2" type="noConversion"/>
  </si>
  <si>
    <t>校长</t>
    <phoneticPr fontId="2" type="noConversion"/>
  </si>
  <si>
    <t>财务处长</t>
    <phoneticPr fontId="2" type="noConversion"/>
  </si>
  <si>
    <t>计划</t>
  </si>
  <si>
    <t>实招</t>
  </si>
  <si>
    <t>专科</t>
  </si>
  <si>
    <t>成教</t>
  </si>
  <si>
    <t>在校生合计</t>
    <phoneticPr fontId="2" type="noConversion"/>
  </si>
  <si>
    <t>生源地</t>
    <phoneticPr fontId="2" type="noConversion"/>
  </si>
  <si>
    <t>帐户性质</t>
  </si>
  <si>
    <t>开户行</t>
    <phoneticPr fontId="2" type="noConversion"/>
  </si>
  <si>
    <t>帐户号</t>
    <phoneticPr fontId="2" type="noConversion"/>
  </si>
  <si>
    <t>最近余额</t>
  </si>
  <si>
    <t>其他负债</t>
  </si>
  <si>
    <t>已经支付</t>
    <phoneticPr fontId="2" type="noConversion"/>
  </si>
  <si>
    <t>余款</t>
    <phoneticPr fontId="2" type="noConversion"/>
  </si>
  <si>
    <t>概算</t>
    <phoneticPr fontId="2" type="noConversion"/>
  </si>
  <si>
    <t>已付款</t>
    <phoneticPr fontId="2" type="noConversion"/>
  </si>
  <si>
    <t>主体造价</t>
    <phoneticPr fontId="2" type="noConversion"/>
  </si>
  <si>
    <t>建设可行性判断</t>
    <phoneticPr fontId="2" type="noConversion"/>
  </si>
  <si>
    <t>07年</t>
    <phoneticPr fontId="2" type="noConversion"/>
  </si>
  <si>
    <t>利率</t>
    <phoneticPr fontId="2" type="noConversion"/>
  </si>
  <si>
    <t>借款期限</t>
    <phoneticPr fontId="2" type="noConversion"/>
  </si>
  <si>
    <t>还款计划</t>
  </si>
  <si>
    <t>08年</t>
    <phoneticPr fontId="2" type="noConversion"/>
  </si>
  <si>
    <t>还款计划(时间及额度)</t>
    <phoneticPr fontId="2" type="noConversion"/>
  </si>
  <si>
    <t>借款余额</t>
    <phoneticPr fontId="2" type="noConversion"/>
  </si>
  <si>
    <t>年利率</t>
  </si>
  <si>
    <t>累计</t>
    <phoneticPr fontId="2" type="noConversion"/>
  </si>
  <si>
    <t>置换总额</t>
    <phoneticPr fontId="2" type="noConversion"/>
  </si>
  <si>
    <t>到位资金</t>
    <phoneticPr fontId="2" type="noConversion"/>
  </si>
  <si>
    <t>批文</t>
    <phoneticPr fontId="2" type="noConversion"/>
  </si>
  <si>
    <t>银行存款</t>
    <phoneticPr fontId="2" type="noConversion"/>
  </si>
  <si>
    <t>学校性质</t>
    <phoneticPr fontId="2" type="noConversion"/>
  </si>
  <si>
    <t>项目</t>
  </si>
  <si>
    <t>总收入</t>
    <phoneticPr fontId="2" type="noConversion"/>
  </si>
  <si>
    <t>可支配</t>
    <phoneticPr fontId="2" type="noConversion"/>
  </si>
  <si>
    <t>期初余额</t>
    <phoneticPr fontId="2" type="noConversion"/>
  </si>
  <si>
    <t>期末余额</t>
    <phoneticPr fontId="2" type="noConversion"/>
  </si>
  <si>
    <t>可支配支出比例</t>
    <phoneticPr fontId="2" type="noConversion"/>
  </si>
  <si>
    <t>我司资金</t>
    <phoneticPr fontId="2" type="noConversion"/>
  </si>
  <si>
    <t>置换流入</t>
    <phoneticPr fontId="2" type="noConversion"/>
  </si>
  <si>
    <t>租金前现金流</t>
    <phoneticPr fontId="2" type="noConversion"/>
  </si>
  <si>
    <t>净现金流</t>
    <phoneticPr fontId="2" type="noConversion"/>
  </si>
  <si>
    <t>投资活动流入</t>
    <phoneticPr fontId="2" type="noConversion"/>
  </si>
  <si>
    <t>筹资活动流入</t>
    <phoneticPr fontId="2" type="noConversion"/>
  </si>
  <si>
    <t>投资活动流出</t>
    <phoneticPr fontId="2" type="noConversion"/>
  </si>
  <si>
    <t>筹资活动流出</t>
    <phoneticPr fontId="2" type="noConversion"/>
  </si>
  <si>
    <t>商务安排分析</t>
    <phoneticPr fontId="2" type="noConversion"/>
  </si>
  <si>
    <t>办学历史</t>
    <phoneticPr fontId="2" type="noConversion"/>
  </si>
  <si>
    <t>毕业去向</t>
    <phoneticPr fontId="2" type="noConversion"/>
  </si>
  <si>
    <t>合计</t>
    <phoneticPr fontId="2" type="noConversion"/>
  </si>
  <si>
    <t>征地款总计</t>
    <phoneticPr fontId="2" type="noConversion"/>
  </si>
  <si>
    <t>征地费用（含拆迁）</t>
    <phoneticPr fontId="2" type="noConversion"/>
  </si>
  <si>
    <t>已付工程款</t>
    <phoneticPr fontId="2" type="noConversion"/>
  </si>
  <si>
    <t>尾款</t>
    <phoneticPr fontId="2" type="noConversion"/>
  </si>
  <si>
    <t>预计投资</t>
    <phoneticPr fontId="2" type="noConversion"/>
  </si>
  <si>
    <t>财政拨款</t>
    <phoneticPr fontId="2" type="noConversion"/>
  </si>
  <si>
    <t>结转自筹基建总额</t>
    <phoneticPr fontId="2" type="noConversion"/>
  </si>
  <si>
    <t>合同金额</t>
    <phoneticPr fontId="2" type="noConversion"/>
  </si>
  <si>
    <t>当前金额</t>
    <phoneticPr fontId="2" type="noConversion"/>
  </si>
  <si>
    <t>期限</t>
    <phoneticPr fontId="2" type="noConversion"/>
  </si>
  <si>
    <t>应用项目</t>
    <phoneticPr fontId="2" type="noConversion"/>
  </si>
  <si>
    <t>其他收入</t>
    <phoneticPr fontId="2" type="noConversion"/>
  </si>
  <si>
    <t>经营活动</t>
    <phoneticPr fontId="2" type="noConversion"/>
  </si>
  <si>
    <t>生均收费</t>
    <phoneticPr fontId="2" type="noConversion"/>
  </si>
  <si>
    <t>其他资金</t>
    <phoneticPr fontId="2" type="noConversion"/>
  </si>
  <si>
    <t xml:space="preserve">  2、承租客户情况</t>
    <phoneticPr fontId="2" type="noConversion"/>
  </si>
  <si>
    <t>2.1 基本资质</t>
    <phoneticPr fontId="2" type="noConversion"/>
  </si>
  <si>
    <t xml:space="preserve"> 1、租赁项目基本情况</t>
    <phoneticPr fontId="2" type="noConversion"/>
  </si>
  <si>
    <t xml:space="preserve"> 1.1 交易结构</t>
    <phoneticPr fontId="2" type="noConversion"/>
  </si>
  <si>
    <t xml:space="preserve">                     1.2 交易条件（多个物件请合并填写）</t>
    <phoneticPr fontId="2" type="noConversion"/>
  </si>
  <si>
    <t xml:space="preserve"> 3、承租人财务状况分析</t>
    <phoneticPr fontId="2" type="noConversion"/>
  </si>
  <si>
    <t>2.2 员工情况</t>
    <phoneticPr fontId="2" type="noConversion"/>
  </si>
  <si>
    <t>2.4 学生概况</t>
    <phoneticPr fontId="2" type="noConversion"/>
  </si>
  <si>
    <t>3.2.1 基建投放</t>
    <phoneticPr fontId="2" type="noConversion"/>
  </si>
  <si>
    <t xml:space="preserve"> 3.2.1.2 已建工程</t>
    <phoneticPr fontId="2" type="noConversion"/>
  </si>
  <si>
    <t>3.2.1.3 在建工程</t>
    <phoneticPr fontId="2" type="noConversion"/>
  </si>
  <si>
    <t>3.2.2 资金来源</t>
    <phoneticPr fontId="2" type="noConversion"/>
  </si>
  <si>
    <t xml:space="preserve">  3.2.1.1 辅助工程</t>
    <phoneticPr fontId="2" type="noConversion"/>
  </si>
  <si>
    <t xml:space="preserve">    3.2.1.4 计划建设工程</t>
    <phoneticPr fontId="2" type="noConversion"/>
  </si>
  <si>
    <t xml:space="preserve"> 3.2.2.1 银行借款</t>
    <phoneticPr fontId="2" type="noConversion"/>
  </si>
  <si>
    <t>授信额度</t>
    <phoneticPr fontId="2" type="noConversion"/>
  </si>
  <si>
    <t>累计授信额度</t>
    <phoneticPr fontId="2" type="noConversion"/>
  </si>
  <si>
    <t>是否超授信</t>
    <phoneticPr fontId="2" type="noConversion"/>
  </si>
  <si>
    <t>说明</t>
    <phoneticPr fontId="2" type="noConversion"/>
  </si>
  <si>
    <t xml:space="preserve">    1.3 客户授信额度</t>
    <phoneticPr fontId="2" type="noConversion"/>
  </si>
  <si>
    <t>总计</t>
    <phoneticPr fontId="2" type="noConversion"/>
  </si>
  <si>
    <t>基建总投放</t>
    <phoneticPr fontId="2" type="noConversion"/>
  </si>
  <si>
    <t>基建实际投放</t>
    <phoneticPr fontId="2" type="noConversion"/>
  </si>
  <si>
    <t>投放差额</t>
    <phoneticPr fontId="2" type="noConversion"/>
  </si>
  <si>
    <t>基建资
金来源</t>
    <phoneticPr fontId="2" type="noConversion"/>
  </si>
  <si>
    <t>分析评价</t>
    <phoneticPr fontId="2" type="noConversion"/>
  </si>
  <si>
    <t>租赁起止日</t>
  </si>
  <si>
    <t>租赁物件以及物件价值确认分析</t>
    <phoneticPr fontId="2" type="noConversion"/>
  </si>
  <si>
    <t>学校合作意愿</t>
    <phoneticPr fontId="2" type="noConversion"/>
  </si>
  <si>
    <t>基建表（或余额表）报告日</t>
    <phoneticPr fontId="2" type="noConversion"/>
  </si>
  <si>
    <t>评估时点</t>
    <phoneticPr fontId="2" type="noConversion"/>
  </si>
  <si>
    <t>评估结果</t>
    <phoneticPr fontId="2" type="noConversion"/>
  </si>
  <si>
    <t>教评评价</t>
    <phoneticPr fontId="2" type="noConversion"/>
  </si>
  <si>
    <t>资金用途以及额度分析</t>
    <phoneticPr fontId="2" type="noConversion"/>
  </si>
  <si>
    <t xml:space="preserve">            2.3 主要校领导简介及评价(含任期)</t>
    <phoneticPr fontId="2" type="noConversion"/>
  </si>
  <si>
    <t>2.6 教学评估</t>
    <phoneticPr fontId="2" type="noConversion"/>
  </si>
  <si>
    <t>2.5 三本概述</t>
    <phoneticPr fontId="2" type="noConversion"/>
  </si>
  <si>
    <t>部门</t>
    <phoneticPr fontId="2" type="noConversion"/>
  </si>
  <si>
    <t>方式</t>
    <phoneticPr fontId="2" type="noConversion"/>
  </si>
  <si>
    <t>用途</t>
    <phoneticPr fontId="2" type="noConversion"/>
  </si>
  <si>
    <t>融资额</t>
    <phoneticPr fontId="2" type="noConversion"/>
  </si>
  <si>
    <t>年还本息合计</t>
    <phoneticPr fontId="2" type="noConversion"/>
  </si>
  <si>
    <t>偿还时点</t>
    <phoneticPr fontId="2" type="noConversion"/>
  </si>
  <si>
    <t>行政</t>
    <phoneticPr fontId="2" type="noConversion"/>
  </si>
  <si>
    <t>基建</t>
    <phoneticPr fontId="2" type="noConversion"/>
  </si>
  <si>
    <t>概算或预决算</t>
    <phoneticPr fontId="2" type="noConversion"/>
  </si>
  <si>
    <t xml:space="preserve">货币资金
</t>
    <phoneticPr fontId="2" type="noConversion"/>
  </si>
  <si>
    <t>3.4 竞争对手资金</t>
    <phoneticPr fontId="2" type="noConversion"/>
  </si>
  <si>
    <t>尾款支付节奏</t>
    <phoneticPr fontId="2" type="noConversion"/>
  </si>
  <si>
    <t>剩余尾款</t>
    <phoneticPr fontId="2" type="noConversion"/>
  </si>
  <si>
    <t>需求额度</t>
    <phoneticPr fontId="2" type="noConversion"/>
  </si>
  <si>
    <t>项目</t>
    <phoneticPr fontId="2" type="noConversion"/>
  </si>
  <si>
    <t>尾款合计</t>
    <phoneticPr fontId="2" type="noConversion"/>
  </si>
  <si>
    <t>支付计划</t>
    <phoneticPr fontId="2" type="noConversion"/>
  </si>
  <si>
    <t>09</t>
    <phoneticPr fontId="2" type="noConversion"/>
  </si>
  <si>
    <t>10</t>
    <phoneticPr fontId="2" type="noConversion"/>
  </si>
  <si>
    <t>11</t>
    <phoneticPr fontId="2" type="noConversion"/>
  </si>
  <si>
    <t>12</t>
    <phoneticPr fontId="2" type="noConversion"/>
  </si>
  <si>
    <t>13</t>
    <phoneticPr fontId="2" type="noConversion"/>
  </si>
  <si>
    <t>征地</t>
    <phoneticPr fontId="2" type="noConversion"/>
  </si>
  <si>
    <t>已建工程</t>
    <phoneticPr fontId="2" type="noConversion"/>
  </si>
  <si>
    <t>在建工程</t>
    <phoneticPr fontId="2" type="noConversion"/>
  </si>
  <si>
    <t>计划确认依据</t>
    <phoneticPr fontId="2" type="noConversion"/>
  </si>
  <si>
    <t>尾款确认基础</t>
    <phoneticPr fontId="2" type="noConversion"/>
  </si>
  <si>
    <t>1.5 重要指标一览</t>
    <phoneticPr fontId="2" type="noConversion"/>
  </si>
  <si>
    <t>财拨事业
收入比</t>
    <phoneticPr fontId="2" type="noConversion"/>
  </si>
  <si>
    <t>可支配支
出比例</t>
    <phoneticPr fontId="2" type="noConversion"/>
  </si>
  <si>
    <t>基建规模
收入比</t>
    <phoneticPr fontId="2" type="noConversion"/>
  </si>
  <si>
    <t>基建资产
负债率</t>
    <phoneticPr fontId="2" type="noConversion"/>
  </si>
  <si>
    <t xml:space="preserve">      1.4 项目可行性分析</t>
    <phoneticPr fontId="2" type="noConversion"/>
  </si>
  <si>
    <t>风险点分析(流动性及安全性)</t>
    <phoneticPr fontId="2" type="noConversion"/>
  </si>
  <si>
    <t>学校基建整体概述及分析评价</t>
    <phoneticPr fontId="2" type="noConversion"/>
  </si>
  <si>
    <t>(预)决算价款</t>
    <phoneticPr fontId="2" type="noConversion"/>
  </si>
  <si>
    <t>基建投放及尾款</t>
    <phoneticPr fontId="2" type="noConversion"/>
  </si>
  <si>
    <t>分析</t>
    <phoneticPr fontId="2" type="noConversion"/>
  </si>
  <si>
    <t>预付及应收账款</t>
    <phoneticPr fontId="2" type="noConversion"/>
  </si>
  <si>
    <t>应付款</t>
    <phoneticPr fontId="2" type="noConversion"/>
  </si>
  <si>
    <t>财拨基础：</t>
    <phoneticPr fontId="2" type="noConversion"/>
  </si>
  <si>
    <t>2009年预算</t>
    <phoneticPr fontId="2" type="noConversion"/>
  </si>
  <si>
    <t>事业性收入</t>
    <phoneticPr fontId="2" type="noConversion"/>
  </si>
  <si>
    <t>特殊事项说明</t>
    <phoneticPr fontId="2" type="noConversion"/>
  </si>
  <si>
    <t>支出</t>
    <phoneticPr fontId="2" type="noConversion"/>
  </si>
  <si>
    <t>公用支出</t>
    <phoneticPr fontId="2" type="noConversion"/>
  </si>
  <si>
    <t>结转自筹基建</t>
    <phoneticPr fontId="2" type="noConversion"/>
  </si>
  <si>
    <t>年利息支付额</t>
    <phoneticPr fontId="2" type="noConversion"/>
  </si>
  <si>
    <t>利息是否行政表列支</t>
    <phoneticPr fontId="2" type="noConversion"/>
  </si>
  <si>
    <t>是</t>
    <phoneticPr fontId="2" type="noConversion"/>
  </si>
  <si>
    <t>项目支出简析</t>
    <phoneticPr fontId="2" type="noConversion"/>
  </si>
  <si>
    <t>可支配支出额</t>
    <phoneticPr fontId="2" type="noConversion"/>
  </si>
  <si>
    <t>可支配支出</t>
    <phoneticPr fontId="2" type="noConversion"/>
  </si>
  <si>
    <t>可支配支出比例（%）</t>
    <phoneticPr fontId="2" type="noConversion"/>
  </si>
  <si>
    <t xml:space="preserve">  3.2 基建表分析</t>
    <phoneticPr fontId="2" type="noConversion"/>
  </si>
  <si>
    <t>自筹拨款</t>
    <phoneticPr fontId="2" type="noConversion"/>
  </si>
  <si>
    <t>应付款项</t>
    <phoneticPr fontId="2" type="noConversion"/>
  </si>
  <si>
    <t>基建负债</t>
    <phoneticPr fontId="2" type="noConversion"/>
  </si>
  <si>
    <t>区域金融政策</t>
    <phoneticPr fontId="2" type="noConversion"/>
  </si>
  <si>
    <t>贷款卡查询单日期</t>
    <phoneticPr fontId="2" type="noConversion"/>
  </si>
  <si>
    <t>固定资产</t>
    <phoneticPr fontId="2" type="noConversion"/>
  </si>
  <si>
    <t>其中：房屋及建筑物</t>
    <phoneticPr fontId="2" type="noConversion"/>
  </si>
  <si>
    <t>土地</t>
    <phoneticPr fontId="2" type="noConversion"/>
  </si>
  <si>
    <t>一般设备</t>
    <phoneticPr fontId="2" type="noConversion"/>
  </si>
  <si>
    <t>专用设备</t>
    <phoneticPr fontId="2" type="noConversion"/>
  </si>
  <si>
    <t>图书</t>
    <phoneticPr fontId="2" type="noConversion"/>
  </si>
  <si>
    <t xml:space="preserve">借款行
</t>
    <phoneticPr fontId="2" type="noConversion"/>
  </si>
  <si>
    <t xml:space="preserve">  3.1 行政表分析</t>
    <phoneticPr fontId="2" type="noConversion"/>
  </si>
  <si>
    <t>行政表报告日</t>
    <phoneticPr fontId="2" type="noConversion"/>
  </si>
  <si>
    <t xml:space="preserve"> </t>
    <phoneticPr fontId="2" type="noConversion"/>
  </si>
  <si>
    <t>合同总额</t>
    <phoneticPr fontId="2" type="noConversion"/>
  </si>
  <si>
    <t>已经还款</t>
    <phoneticPr fontId="2" type="noConversion"/>
  </si>
  <si>
    <t>履约记录</t>
    <phoneticPr fontId="2" type="noConversion"/>
  </si>
  <si>
    <t>逐年偿还合计</t>
    <phoneticPr fontId="2" type="noConversion"/>
  </si>
  <si>
    <t>银行信用
分析评价</t>
    <phoneticPr fontId="2" type="noConversion"/>
  </si>
  <si>
    <t>未来贷款计划</t>
    <phoneticPr fontId="2" type="noConversion"/>
  </si>
  <si>
    <t xml:space="preserve">  3.2.2.2 职工集资</t>
    <phoneticPr fontId="2" type="noConversion"/>
  </si>
  <si>
    <t xml:space="preserve">  3.2.2.3 社会投资</t>
    <phoneticPr fontId="2" type="noConversion"/>
  </si>
  <si>
    <t xml:space="preserve">  3.2.2.4 土地置换</t>
    <phoneticPr fontId="2" type="noConversion"/>
  </si>
  <si>
    <t>区域土地
置换政策</t>
    <phoneticPr fontId="2" type="noConversion"/>
  </si>
  <si>
    <t>置换校区</t>
    <phoneticPr fontId="2" type="noConversion"/>
  </si>
  <si>
    <t>未来到位安排</t>
    <phoneticPr fontId="2" type="noConversion"/>
  </si>
  <si>
    <t>未来置换计划及可行分析</t>
    <phoneticPr fontId="2" type="noConversion"/>
  </si>
  <si>
    <t>基建投放差额资金解决方案及评价</t>
    <phoneticPr fontId="2" type="noConversion"/>
  </si>
  <si>
    <t>3.3  设备资产投资(缘于教学评估为主)</t>
    <phoneticPr fontId="2" type="noConversion"/>
  </si>
  <si>
    <t>设备需求原因</t>
    <phoneticPr fontId="2" type="noConversion"/>
  </si>
  <si>
    <t>对手名称</t>
    <phoneticPr fontId="2" type="noConversion"/>
  </si>
  <si>
    <t>4、第三方验证</t>
    <phoneticPr fontId="2" type="noConversion"/>
  </si>
  <si>
    <t>5、现金流预测</t>
    <phoneticPr fontId="2" type="noConversion"/>
  </si>
  <si>
    <t>区域政府/金融政策以及变化</t>
    <phoneticPr fontId="2" type="noConversion"/>
  </si>
  <si>
    <t>学生人数</t>
    <phoneticPr fontId="2" type="noConversion"/>
  </si>
  <si>
    <t>收费标准</t>
    <phoneticPr fontId="2" type="noConversion"/>
  </si>
  <si>
    <t>可支配结余比例</t>
    <phoneticPr fontId="2" type="noConversion"/>
  </si>
  <si>
    <t>银行借款</t>
    <phoneticPr fontId="2" type="noConversion"/>
  </si>
  <si>
    <t>职工集资</t>
    <phoneticPr fontId="2" type="noConversion"/>
  </si>
  <si>
    <t>社会投资</t>
    <phoneticPr fontId="2" type="noConversion"/>
  </si>
  <si>
    <t>土地置换</t>
    <phoneticPr fontId="2" type="noConversion"/>
  </si>
  <si>
    <t>现金流预测</t>
    <phoneticPr fontId="2" type="noConversion"/>
  </si>
  <si>
    <t>全日制学生人数</t>
    <phoneticPr fontId="2" type="noConversion"/>
  </si>
  <si>
    <t>成教学生人数</t>
    <phoneticPr fontId="2" type="noConversion"/>
  </si>
  <si>
    <t>2008年</t>
    <phoneticPr fontId="2" type="noConversion"/>
  </si>
  <si>
    <t>06年及以前</t>
    <phoneticPr fontId="2" type="noConversion"/>
  </si>
  <si>
    <t>单位:元</t>
    <phoneticPr fontId="2" type="noConversion"/>
  </si>
  <si>
    <t>专用材料费</t>
  </si>
  <si>
    <t>单位：元</t>
    <phoneticPr fontId="2" type="noConversion"/>
  </si>
  <si>
    <t>06年</t>
    <phoneticPr fontId="2" type="noConversion"/>
  </si>
  <si>
    <t>一、资产部类合计</t>
    <phoneticPr fontId="2" type="noConversion"/>
  </si>
  <si>
    <t>其中:现金</t>
    <phoneticPr fontId="2" type="noConversion"/>
  </si>
  <si>
    <t xml:space="preserve">     银行存款</t>
    <phoneticPr fontId="2" type="noConversion"/>
  </si>
  <si>
    <t xml:space="preserve">     应收票据</t>
    <phoneticPr fontId="2" type="noConversion"/>
  </si>
  <si>
    <t xml:space="preserve">     应收帐款</t>
    <phoneticPr fontId="2" type="noConversion"/>
  </si>
  <si>
    <t xml:space="preserve">     预付款</t>
    <phoneticPr fontId="2" type="noConversion"/>
  </si>
  <si>
    <t xml:space="preserve">     其他应收款</t>
    <phoneticPr fontId="2" type="noConversion"/>
  </si>
  <si>
    <t xml:space="preserve">     材料</t>
    <phoneticPr fontId="2" type="noConversion"/>
  </si>
  <si>
    <t xml:space="preserve">     产成品</t>
    <phoneticPr fontId="2" type="noConversion"/>
  </si>
  <si>
    <t xml:space="preserve">   减:累计折旧</t>
    <phoneticPr fontId="2" type="noConversion"/>
  </si>
  <si>
    <t>固定资产净值</t>
    <phoneticPr fontId="2" type="noConversion"/>
  </si>
  <si>
    <t>无形资产</t>
    <phoneticPr fontId="2" type="noConversion"/>
  </si>
  <si>
    <t>其他(基本建设资金占用合计)</t>
    <phoneticPr fontId="2" type="noConversion"/>
  </si>
  <si>
    <t>二、负债合计</t>
    <phoneticPr fontId="2" type="noConversion"/>
  </si>
  <si>
    <t>借入款</t>
    <phoneticPr fontId="2" type="noConversion"/>
  </si>
  <si>
    <t xml:space="preserve">   其中:银行借款</t>
    <phoneticPr fontId="2" type="noConversion"/>
  </si>
  <si>
    <t>应付票据</t>
    <phoneticPr fontId="2" type="noConversion"/>
  </si>
  <si>
    <t>应付帐款</t>
    <phoneticPr fontId="2" type="noConversion"/>
  </si>
  <si>
    <t>预收帐款</t>
    <phoneticPr fontId="2" type="noConversion"/>
  </si>
  <si>
    <t>其他应付款</t>
    <phoneticPr fontId="2" type="noConversion"/>
  </si>
  <si>
    <t>应交税金</t>
    <phoneticPr fontId="2" type="noConversion"/>
  </si>
  <si>
    <t>负债合计</t>
    <phoneticPr fontId="2" type="noConversion"/>
  </si>
  <si>
    <t>三、净资产合计</t>
    <phoneticPr fontId="2" type="noConversion"/>
  </si>
  <si>
    <t>回租赁</t>
  </si>
  <si>
    <t>服务费</t>
    <phoneticPr fontId="2" type="noConversion"/>
  </si>
  <si>
    <t>不等额后付</t>
  </si>
  <si>
    <t>不等额年金</t>
  </si>
  <si>
    <t>较强。</t>
    <phoneticPr fontId="2" type="noConversion"/>
  </si>
  <si>
    <t>回租赁项目,商务安排较简单。</t>
    <phoneticPr fontId="2" type="noConversion"/>
  </si>
  <si>
    <t>1、还租列入每年度学校支出计划和预算，确保学校起租前已合理安排租金支付计划；</t>
    <phoneticPr fontId="2" type="noConversion"/>
  </si>
  <si>
    <t>贷款卡号码</t>
    <phoneticPr fontId="2" type="noConversion"/>
  </si>
  <si>
    <t>本科</t>
    <phoneticPr fontId="2" type="noConversion"/>
  </si>
  <si>
    <t>开办资金(万元)</t>
    <phoneticPr fontId="2" type="noConversion"/>
  </si>
  <si>
    <t>厅级</t>
    <phoneticPr fontId="2" type="noConversion"/>
  </si>
  <si>
    <t>公办</t>
    <phoneticPr fontId="2" type="noConversion"/>
  </si>
  <si>
    <t>一般</t>
    <phoneticPr fontId="2" type="noConversion"/>
  </si>
  <si>
    <t>为社会培养高等学历工程人才，促进科技事业发展。</t>
    <phoneticPr fontId="2" type="noConversion"/>
  </si>
  <si>
    <t>合计(全日制在校生)</t>
    <phoneticPr fontId="2" type="noConversion"/>
  </si>
  <si>
    <t>省人口总数</t>
    <phoneticPr fontId="2" type="noConversion"/>
  </si>
  <si>
    <t>毛入学率</t>
    <phoneticPr fontId="2" type="noConversion"/>
  </si>
  <si>
    <t>就业率</t>
    <phoneticPr fontId="2" type="noConversion"/>
  </si>
  <si>
    <t>报到率</t>
    <phoneticPr fontId="2" type="noConversion"/>
  </si>
  <si>
    <t>计划</t>
    <phoneticPr fontId="2" type="noConversion"/>
  </si>
  <si>
    <t>否</t>
  </si>
  <si>
    <t>财拨增长比率</t>
    <phoneticPr fontId="2" type="noConversion"/>
  </si>
  <si>
    <t>报到率</t>
    <phoneticPr fontId="2" type="noConversion"/>
  </si>
  <si>
    <t>-</t>
    <phoneticPr fontId="2" type="noConversion"/>
  </si>
  <si>
    <t>是</t>
    <phoneticPr fontId="2" type="noConversion"/>
  </si>
  <si>
    <t>学校自筹</t>
    <phoneticPr fontId="2" type="noConversion"/>
  </si>
  <si>
    <t>查基建帐户和合同</t>
    <phoneticPr fontId="2" type="noConversion"/>
  </si>
  <si>
    <t>08年</t>
    <phoneticPr fontId="2" type="noConversion"/>
  </si>
  <si>
    <t>07年</t>
    <phoneticPr fontId="2" type="noConversion"/>
  </si>
  <si>
    <t>06年及以前</t>
    <phoneticPr fontId="2" type="noConversion"/>
  </si>
  <si>
    <t>无不良信用记录。</t>
    <phoneticPr fontId="2" type="noConversion"/>
  </si>
  <si>
    <t>支持高校土地置换。</t>
    <phoneticPr fontId="2" type="noConversion"/>
  </si>
  <si>
    <t>2009年</t>
  </si>
  <si>
    <t>2010年</t>
  </si>
  <si>
    <t>2011年</t>
  </si>
  <si>
    <t>2012年</t>
  </si>
  <si>
    <t>2013年</t>
  </si>
  <si>
    <t>2014年</t>
  </si>
  <si>
    <t>合计</t>
    <phoneticPr fontId="2" type="noConversion"/>
  </si>
  <si>
    <t>无。</t>
    <phoneticPr fontId="2" type="noConversion"/>
  </si>
  <si>
    <t>银行借款
收入比</t>
    <phoneticPr fontId="2" type="noConversion"/>
  </si>
  <si>
    <t>收入融资比</t>
    <phoneticPr fontId="2" type="noConversion"/>
  </si>
  <si>
    <t>可支配支出租金覆盖比</t>
    <phoneticPr fontId="2" type="noConversion"/>
  </si>
  <si>
    <t>2009 年3月</t>
    <phoneticPr fontId="2" type="noConversion"/>
  </si>
  <si>
    <t>已付工程款（2008年12月31日）</t>
    <phoneticPr fontId="2" type="noConversion"/>
  </si>
  <si>
    <t>上述尾款支付计划</t>
    <phoneticPr fontId="2" type="noConversion"/>
  </si>
  <si>
    <t>备注</t>
    <phoneticPr fontId="2" type="noConversion"/>
  </si>
  <si>
    <t>其中:一般基金</t>
    <phoneticPr fontId="2" type="noConversion"/>
  </si>
  <si>
    <t>租赁本金</t>
  </si>
  <si>
    <t>租赁保证金</t>
  </si>
  <si>
    <t>租赁管理服务费</t>
  </si>
  <si>
    <t>对外支付佣金</t>
  </si>
  <si>
    <t>隐含租赁利率-月利率</t>
  </si>
  <si>
    <t>租金</t>
  </si>
  <si>
    <t>利息收入</t>
  </si>
  <si>
    <t>偿付本金</t>
  </si>
  <si>
    <t>未偿付本金</t>
  </si>
  <si>
    <t>现金流</t>
  </si>
  <si>
    <t>起租日-不平均-不等期</t>
  </si>
  <si>
    <t>合计</t>
  </si>
  <si>
    <t>时间间隔-月</t>
  </si>
  <si>
    <t>服务费</t>
    <phoneticPr fontId="2" type="noConversion"/>
  </si>
  <si>
    <t>租赁物件原值 5400万元，净值暂无法判断，认可价值 5300万元。</t>
    <phoneticPr fontId="2" type="noConversion"/>
  </si>
  <si>
    <t xml:space="preserve">1、学校的贷款主要以流动资金贷款为主，每年的倒贷过程中出现的暂时资金短缺而导致租金无法按时偿付。   </t>
    <phoneticPr fontId="2" type="noConversion"/>
  </si>
  <si>
    <t>2、基建工程尾款支付（和萃园校区建设）导致资金紧张，使租金无法按时偿付。</t>
    <phoneticPr fontId="2" type="noConversion"/>
  </si>
  <si>
    <t>3、关注学校的创新学院的股权收购以及收购后的再投入情况，学校对创新学院的投入，导致学校资金链紧张，使租金无法按时偿还。</t>
    <phoneticPr fontId="2" type="noConversion"/>
  </si>
  <si>
    <t>2、学校事业收入保持稳定增长，从06年的近9000万增加到08年的1.22亿。学校自成为省部共建院校以来，财拨收入也保持了强劲的上升势头，由06年的近8000万，到08年的近1亿。由此判断，随着学校的知名度不断提升，政府支持力度的加大，学校的收入在未来几年会保持稳定的增长趋势。</t>
    <phoneticPr fontId="2" type="noConversion"/>
  </si>
  <si>
    <t>3,根据学校收支状况,06年到08年可支配逐渐增加，主要原因是学校加大了资本性支出，固定资产购建等。</t>
    <phoneticPr fontId="2" type="noConversion"/>
  </si>
  <si>
    <t>陕西省教育厅</t>
    <phoneticPr fontId="2" type="noConversion"/>
  </si>
  <si>
    <t>生均事业收入：</t>
    <phoneticPr fontId="2" type="noConversion"/>
  </si>
  <si>
    <t>偿还贷款</t>
    <phoneticPr fontId="2" type="noConversion"/>
  </si>
  <si>
    <t>2、关注学校几个在建项目（全部竣工）的工程尾款支付计划，以及萃园校区的建设计划，尤其是国家发改委资金的到位情况，确保学校按计划还租;</t>
    <phoneticPr fontId="2" type="noConversion"/>
  </si>
  <si>
    <t>控制措施</t>
    <phoneticPr fontId="2" type="noConversion"/>
  </si>
  <si>
    <t>100元</t>
    <phoneticPr fontId="2" type="noConversion"/>
  </si>
  <si>
    <t>2006年以来学校的人员支出不断增加，公用支基本保持稳定。结转自筹到基建的资金由于学校的基建支出加大而减少。</t>
    <phoneticPr fontId="2" type="noConversion"/>
  </si>
  <si>
    <t>9#教学实验楼</t>
    <phoneticPr fontId="2" type="noConversion"/>
  </si>
  <si>
    <t>租赁管理手续费</t>
  </si>
  <si>
    <t>回收成本</t>
  </si>
  <si>
    <t>未回收成本</t>
  </si>
  <si>
    <t>起租日</t>
  </si>
  <si>
    <r>
      <t>2005</t>
    </r>
    <r>
      <rPr>
        <sz val="10"/>
        <rFont val="宋体"/>
        <family val="3"/>
        <charset val="134"/>
      </rPr>
      <t>年占用</t>
    </r>
  </si>
  <si>
    <r>
      <t>2006</t>
    </r>
    <r>
      <rPr>
        <sz val="10"/>
        <rFont val="宋体"/>
        <family val="3"/>
        <charset val="134"/>
      </rPr>
      <t>年收入</t>
    </r>
  </si>
  <si>
    <r>
      <t>2006</t>
    </r>
    <r>
      <rPr>
        <sz val="10"/>
        <rFont val="宋体"/>
        <family val="3"/>
        <charset val="134"/>
      </rPr>
      <t>年占用</t>
    </r>
  </si>
  <si>
    <r>
      <t>2007</t>
    </r>
    <r>
      <rPr>
        <sz val="10"/>
        <rFont val="宋体"/>
        <family val="3"/>
        <charset val="134"/>
      </rPr>
      <t>年收入</t>
    </r>
  </si>
  <si>
    <r>
      <t>2007</t>
    </r>
    <r>
      <rPr>
        <sz val="10"/>
        <rFont val="宋体"/>
        <family val="3"/>
        <charset val="134"/>
      </rPr>
      <t>年占用</t>
    </r>
  </si>
  <si>
    <r>
      <t>2008</t>
    </r>
    <r>
      <rPr>
        <sz val="10"/>
        <rFont val="宋体"/>
        <family val="3"/>
        <charset val="134"/>
      </rPr>
      <t>年收入</t>
    </r>
  </si>
  <si>
    <r>
      <t>2008</t>
    </r>
    <r>
      <rPr>
        <sz val="10"/>
        <rFont val="宋体"/>
        <family val="3"/>
        <charset val="134"/>
      </rPr>
      <t>年后收入</t>
    </r>
    <phoneticPr fontId="2" type="noConversion"/>
  </si>
  <si>
    <r>
      <t>2008</t>
    </r>
    <r>
      <rPr>
        <sz val="10"/>
        <rFont val="宋体"/>
        <family val="3"/>
        <charset val="134"/>
      </rPr>
      <t>年占用</t>
    </r>
  </si>
  <si>
    <r>
      <t>2009</t>
    </r>
    <r>
      <rPr>
        <sz val="10"/>
        <rFont val="宋体"/>
        <family val="3"/>
        <charset val="134"/>
      </rPr>
      <t>年收入</t>
    </r>
  </si>
  <si>
    <r>
      <t>2009</t>
    </r>
    <r>
      <rPr>
        <sz val="10"/>
        <rFont val="宋体"/>
        <family val="3"/>
        <charset val="134"/>
      </rPr>
      <t>年占用</t>
    </r>
  </si>
  <si>
    <t>项目总额</t>
    <phoneticPr fontId="2" type="noConversion"/>
  </si>
  <si>
    <t>租期（年）</t>
    <phoneticPr fontId="2" type="noConversion"/>
  </si>
  <si>
    <t>返点收入</t>
    <phoneticPr fontId="2" type="noConversion"/>
  </si>
  <si>
    <t>总资金占用</t>
    <phoneticPr fontId="2" type="noConversion"/>
  </si>
  <si>
    <r>
      <t>资金占用</t>
    </r>
    <r>
      <rPr>
        <b/>
        <sz val="10"/>
        <rFont val="Times New Roman"/>
        <family val="1"/>
      </rPr>
      <t xml:space="preserve"> </t>
    </r>
    <phoneticPr fontId="2" type="noConversion"/>
  </si>
  <si>
    <r>
      <t>2002</t>
    </r>
    <r>
      <rPr>
        <sz val="10"/>
        <rFont val="宋体"/>
        <family val="3"/>
        <charset val="134"/>
      </rPr>
      <t>年占用</t>
    </r>
    <phoneticPr fontId="2" type="noConversion"/>
  </si>
  <si>
    <r>
      <t>2002</t>
    </r>
    <r>
      <rPr>
        <sz val="10"/>
        <rFont val="宋体"/>
        <family val="3"/>
        <charset val="134"/>
      </rPr>
      <t>年后占用</t>
    </r>
    <phoneticPr fontId="2" type="noConversion"/>
  </si>
  <si>
    <t>年利率</t>
    <phoneticPr fontId="2" type="noConversion"/>
  </si>
  <si>
    <t>利息补贴</t>
    <phoneticPr fontId="2" type="noConversion"/>
  </si>
  <si>
    <t>其他支出</t>
    <phoneticPr fontId="2" type="noConversion"/>
  </si>
  <si>
    <t>残值收入</t>
    <phoneticPr fontId="2" type="noConversion"/>
  </si>
  <si>
    <r>
      <t>2004</t>
    </r>
    <r>
      <rPr>
        <sz val="10"/>
        <rFont val="宋体"/>
        <family val="3"/>
        <charset val="134"/>
      </rPr>
      <t>年收入</t>
    </r>
    <phoneticPr fontId="2" type="noConversion"/>
  </si>
  <si>
    <r>
      <t>2010</t>
    </r>
    <r>
      <rPr>
        <sz val="10"/>
        <rFont val="宋体"/>
        <family val="3"/>
        <charset val="134"/>
      </rPr>
      <t>年占用</t>
    </r>
    <phoneticPr fontId="2" type="noConversion"/>
  </si>
  <si>
    <r>
      <t>2010</t>
    </r>
    <r>
      <rPr>
        <sz val="10"/>
        <rFont val="宋体"/>
        <family val="3"/>
        <charset val="134"/>
      </rPr>
      <t>年后占用</t>
    </r>
    <phoneticPr fontId="2" type="noConversion"/>
  </si>
  <si>
    <r>
      <t>2011</t>
    </r>
    <r>
      <rPr>
        <sz val="10"/>
        <rFont val="宋体"/>
        <family val="3"/>
        <charset val="134"/>
      </rPr>
      <t>年收入</t>
    </r>
    <phoneticPr fontId="2" type="noConversion"/>
  </si>
  <si>
    <r>
      <t>2011</t>
    </r>
    <r>
      <rPr>
        <sz val="10"/>
        <rFont val="宋体"/>
        <family val="3"/>
        <charset val="134"/>
      </rPr>
      <t>年占用</t>
    </r>
    <phoneticPr fontId="2" type="noConversion"/>
  </si>
  <si>
    <r>
      <t>2012</t>
    </r>
    <r>
      <rPr>
        <sz val="10"/>
        <rFont val="宋体"/>
        <family val="3"/>
        <charset val="134"/>
      </rPr>
      <t>年收入</t>
    </r>
    <phoneticPr fontId="2" type="noConversion"/>
  </si>
  <si>
    <r>
      <t>2012</t>
    </r>
    <r>
      <rPr>
        <sz val="10"/>
        <rFont val="宋体"/>
        <family val="3"/>
        <charset val="134"/>
      </rPr>
      <t>年后收入</t>
    </r>
    <phoneticPr fontId="2" type="noConversion"/>
  </si>
  <si>
    <r>
      <t>2012</t>
    </r>
    <r>
      <rPr>
        <sz val="10"/>
        <rFont val="宋体"/>
        <family val="3"/>
        <charset val="134"/>
      </rPr>
      <t>年占用</t>
    </r>
    <phoneticPr fontId="2" type="noConversion"/>
  </si>
  <si>
    <r>
      <t>2012</t>
    </r>
    <r>
      <rPr>
        <sz val="10"/>
        <rFont val="宋体"/>
        <family val="3"/>
        <charset val="134"/>
      </rPr>
      <t>年后占用</t>
    </r>
    <phoneticPr fontId="2" type="noConversion"/>
  </si>
  <si>
    <t>融资租赁租金及收益测算表</t>
    <phoneticPr fontId="2" type="noConversion"/>
  </si>
  <si>
    <t>租金计算方式</t>
    <phoneticPr fontId="2" type="noConversion"/>
  </si>
  <si>
    <r>
      <t>PM</t>
    </r>
    <r>
      <rPr>
        <sz val="10"/>
        <rFont val="宋体"/>
        <family val="3"/>
        <charset val="134"/>
      </rPr>
      <t>存量占用</t>
    </r>
    <phoneticPr fontId="2" type="noConversion"/>
  </si>
  <si>
    <r>
      <t>PM</t>
    </r>
    <r>
      <rPr>
        <sz val="10"/>
        <rFont val="宋体"/>
        <family val="3"/>
        <charset val="134"/>
      </rPr>
      <t>存量收入</t>
    </r>
    <phoneticPr fontId="2" type="noConversion"/>
  </si>
  <si>
    <r>
      <t>PM</t>
    </r>
    <r>
      <rPr>
        <sz val="10"/>
        <rFont val="宋体"/>
        <family val="3"/>
        <charset val="134"/>
      </rPr>
      <t>总收益率</t>
    </r>
    <phoneticPr fontId="2" type="noConversion"/>
  </si>
  <si>
    <t>总收益</t>
    <phoneticPr fontId="2" type="noConversion"/>
  </si>
  <si>
    <t>利息收入</t>
    <phoneticPr fontId="2" type="noConversion"/>
  </si>
  <si>
    <t>资产报酬率</t>
    <phoneticPr fontId="2" type="noConversion"/>
  </si>
  <si>
    <t>总资金占用收益率</t>
    <phoneticPr fontId="2" type="noConversion"/>
  </si>
  <si>
    <t>部门存量占用</t>
    <phoneticPr fontId="2" type="noConversion"/>
  </si>
  <si>
    <t>部门存量收入</t>
    <phoneticPr fontId="2" type="noConversion"/>
  </si>
  <si>
    <t>部门总收益率</t>
    <phoneticPr fontId="2" type="noConversion"/>
  </si>
  <si>
    <r>
      <t>2002</t>
    </r>
    <r>
      <rPr>
        <sz val="10"/>
        <rFont val="宋体"/>
        <family val="3"/>
        <charset val="134"/>
      </rPr>
      <t>年收入</t>
    </r>
    <phoneticPr fontId="2" type="noConversion"/>
  </si>
  <si>
    <t>保证金</t>
    <phoneticPr fontId="2" type="noConversion"/>
  </si>
  <si>
    <t>年还租次数</t>
    <phoneticPr fontId="2" type="noConversion"/>
  </si>
  <si>
    <t>手续费收入</t>
    <phoneticPr fontId="2" type="noConversion"/>
  </si>
  <si>
    <t>收益率</t>
    <phoneticPr fontId="2" type="noConversion"/>
  </si>
  <si>
    <r>
      <t>2003</t>
    </r>
    <r>
      <rPr>
        <sz val="10"/>
        <rFont val="宋体"/>
        <family val="3"/>
        <charset val="134"/>
      </rPr>
      <t>年收入</t>
    </r>
    <phoneticPr fontId="2" type="noConversion"/>
  </si>
  <si>
    <t>资产余值</t>
    <phoneticPr fontId="2" type="noConversion"/>
  </si>
  <si>
    <t>每期本金</t>
    <phoneticPr fontId="2" type="noConversion"/>
  </si>
  <si>
    <t>管理费收入</t>
    <phoneticPr fontId="2" type="noConversion"/>
  </si>
  <si>
    <r>
      <t>2003</t>
    </r>
    <r>
      <rPr>
        <sz val="10"/>
        <rFont val="宋体"/>
        <family val="3"/>
        <charset val="134"/>
      </rPr>
      <t>年占用</t>
    </r>
    <phoneticPr fontId="2" type="noConversion"/>
  </si>
  <si>
    <t>考核调整</t>
    <phoneticPr fontId="2" type="noConversion"/>
  </si>
  <si>
    <t>租前息</t>
    <phoneticPr fontId="2" type="noConversion"/>
  </si>
  <si>
    <t>其他收入</t>
    <phoneticPr fontId="2" type="noConversion"/>
  </si>
  <si>
    <r>
      <t>2002</t>
    </r>
    <r>
      <rPr>
        <b/>
        <sz val="10"/>
        <rFont val="宋体"/>
        <family val="3"/>
        <charset val="134"/>
      </rPr>
      <t>年收入</t>
    </r>
  </si>
  <si>
    <r>
      <t>2003</t>
    </r>
    <r>
      <rPr>
        <b/>
        <sz val="10"/>
        <rFont val="宋体"/>
        <family val="3"/>
        <charset val="134"/>
      </rPr>
      <t>年收入</t>
    </r>
    <phoneticPr fontId="2" type="noConversion"/>
  </si>
  <si>
    <r>
      <t>2004</t>
    </r>
    <r>
      <rPr>
        <b/>
        <sz val="10"/>
        <rFont val="宋体"/>
        <family val="3"/>
        <charset val="134"/>
      </rPr>
      <t>年收入</t>
    </r>
  </si>
  <si>
    <r>
      <t>2005</t>
    </r>
    <r>
      <rPr>
        <b/>
        <sz val="10"/>
        <rFont val="宋体"/>
        <family val="3"/>
        <charset val="134"/>
      </rPr>
      <t>年收入</t>
    </r>
  </si>
  <si>
    <r>
      <t>2006</t>
    </r>
    <r>
      <rPr>
        <b/>
        <sz val="10"/>
        <rFont val="宋体"/>
        <family val="3"/>
        <charset val="134"/>
      </rPr>
      <t>年收入</t>
    </r>
  </si>
  <si>
    <r>
      <t>2007</t>
    </r>
    <r>
      <rPr>
        <b/>
        <sz val="10"/>
        <rFont val="宋体"/>
        <family val="3"/>
        <charset val="134"/>
      </rPr>
      <t>年收入</t>
    </r>
  </si>
  <si>
    <r>
      <t>2008</t>
    </r>
    <r>
      <rPr>
        <b/>
        <sz val="10"/>
        <rFont val="宋体"/>
        <family val="3"/>
        <charset val="134"/>
      </rPr>
      <t>年收入</t>
    </r>
  </si>
  <si>
    <r>
      <t>2009</t>
    </r>
    <r>
      <rPr>
        <b/>
        <sz val="10"/>
        <rFont val="宋体"/>
        <family val="3"/>
        <charset val="134"/>
      </rPr>
      <t>年收入</t>
    </r>
  </si>
  <si>
    <r>
      <t>2010</t>
    </r>
    <r>
      <rPr>
        <b/>
        <sz val="10"/>
        <rFont val="宋体"/>
        <family val="3"/>
        <charset val="134"/>
      </rPr>
      <t>年收入</t>
    </r>
  </si>
  <si>
    <r>
      <t>2011</t>
    </r>
    <r>
      <rPr>
        <b/>
        <sz val="10"/>
        <rFont val="宋体"/>
        <family val="3"/>
        <charset val="134"/>
      </rPr>
      <t>年收入</t>
    </r>
  </si>
  <si>
    <r>
      <t>2012</t>
    </r>
    <r>
      <rPr>
        <b/>
        <sz val="10"/>
        <rFont val="宋体"/>
        <family val="3"/>
        <charset val="134"/>
      </rPr>
      <t>年收入</t>
    </r>
  </si>
  <si>
    <r>
      <t>2002</t>
    </r>
    <r>
      <rPr>
        <b/>
        <sz val="10"/>
        <rFont val="宋体"/>
        <family val="3"/>
        <charset val="134"/>
      </rPr>
      <t>年占用</t>
    </r>
  </si>
  <si>
    <r>
      <t>2003</t>
    </r>
    <r>
      <rPr>
        <b/>
        <sz val="10"/>
        <rFont val="宋体"/>
        <family val="3"/>
        <charset val="134"/>
      </rPr>
      <t>年占用</t>
    </r>
    <phoneticPr fontId="2" type="noConversion"/>
  </si>
  <si>
    <r>
      <t>2004</t>
    </r>
    <r>
      <rPr>
        <b/>
        <sz val="10"/>
        <rFont val="宋体"/>
        <family val="3"/>
        <charset val="134"/>
      </rPr>
      <t>年占用</t>
    </r>
    <phoneticPr fontId="2" type="noConversion"/>
  </si>
  <si>
    <r>
      <t>2005</t>
    </r>
    <r>
      <rPr>
        <b/>
        <sz val="10"/>
        <rFont val="宋体"/>
        <family val="3"/>
        <charset val="134"/>
      </rPr>
      <t>年占用</t>
    </r>
  </si>
  <si>
    <r>
      <t>2006</t>
    </r>
    <r>
      <rPr>
        <b/>
        <sz val="10"/>
        <rFont val="宋体"/>
        <family val="3"/>
        <charset val="134"/>
      </rPr>
      <t>年占用</t>
    </r>
  </si>
  <si>
    <r>
      <t>2007</t>
    </r>
    <r>
      <rPr>
        <b/>
        <sz val="10"/>
        <rFont val="宋体"/>
        <family val="3"/>
        <charset val="134"/>
      </rPr>
      <t>年占用</t>
    </r>
  </si>
  <si>
    <r>
      <t>2008</t>
    </r>
    <r>
      <rPr>
        <b/>
        <sz val="10"/>
        <rFont val="宋体"/>
        <family val="3"/>
        <charset val="134"/>
      </rPr>
      <t>年占用</t>
    </r>
  </si>
  <si>
    <r>
      <t>2009</t>
    </r>
    <r>
      <rPr>
        <b/>
        <sz val="10"/>
        <rFont val="宋体"/>
        <family val="3"/>
        <charset val="134"/>
      </rPr>
      <t>年占用</t>
    </r>
  </si>
  <si>
    <r>
      <t>2010</t>
    </r>
    <r>
      <rPr>
        <b/>
        <sz val="10"/>
        <rFont val="宋体"/>
        <family val="3"/>
        <charset val="134"/>
      </rPr>
      <t>年占用</t>
    </r>
  </si>
  <si>
    <r>
      <t>2011</t>
    </r>
    <r>
      <rPr>
        <b/>
        <sz val="10"/>
        <rFont val="宋体"/>
        <family val="3"/>
        <charset val="134"/>
      </rPr>
      <t>年占用</t>
    </r>
  </si>
  <si>
    <r>
      <t>2012</t>
    </r>
    <r>
      <rPr>
        <b/>
        <sz val="10"/>
        <rFont val="宋体"/>
        <family val="3"/>
        <charset val="134"/>
      </rPr>
      <t>年占用</t>
    </r>
  </si>
  <si>
    <t>租金收入</t>
    <phoneticPr fontId="2" type="noConversion"/>
  </si>
  <si>
    <t>利息收入</t>
    <phoneticPr fontId="2" type="noConversion"/>
  </si>
  <si>
    <t>现金流量</t>
    <phoneticPr fontId="2" type="noConversion"/>
  </si>
  <si>
    <t>IRR</t>
    <phoneticPr fontId="2" type="noConversion"/>
  </si>
  <si>
    <r>
      <t>2004</t>
    </r>
    <r>
      <rPr>
        <sz val="10"/>
        <rFont val="宋体"/>
        <family val="3"/>
        <charset val="134"/>
      </rPr>
      <t>年占用</t>
    </r>
    <phoneticPr fontId="2" type="noConversion"/>
  </si>
  <si>
    <r>
      <t>2004</t>
    </r>
    <r>
      <rPr>
        <sz val="10"/>
        <rFont val="宋体"/>
        <family val="3"/>
        <charset val="134"/>
      </rPr>
      <t>年后占用</t>
    </r>
    <phoneticPr fontId="2" type="noConversion"/>
  </si>
  <si>
    <r>
      <t>2005</t>
    </r>
    <r>
      <rPr>
        <sz val="10"/>
        <rFont val="宋体"/>
        <family val="3"/>
        <charset val="134"/>
      </rPr>
      <t>年收入</t>
    </r>
    <phoneticPr fontId="2" type="noConversion"/>
  </si>
  <si>
    <r>
      <t>2007</t>
    </r>
    <r>
      <rPr>
        <sz val="10"/>
        <rFont val="宋体"/>
        <family val="3"/>
        <charset val="134"/>
      </rPr>
      <t>年后收入</t>
    </r>
    <phoneticPr fontId="2" type="noConversion"/>
  </si>
  <si>
    <r>
      <t>2008</t>
    </r>
    <r>
      <rPr>
        <sz val="10"/>
        <rFont val="宋体"/>
        <family val="3"/>
        <charset val="134"/>
      </rPr>
      <t>年后占用</t>
    </r>
    <phoneticPr fontId="2" type="noConversion"/>
  </si>
  <si>
    <r>
      <t>2010</t>
    </r>
    <r>
      <rPr>
        <sz val="10"/>
        <rFont val="宋体"/>
        <family val="3"/>
        <charset val="134"/>
      </rPr>
      <t>年收入</t>
    </r>
    <phoneticPr fontId="2" type="noConversion"/>
  </si>
  <si>
    <t>2006年</t>
    <phoneticPr fontId="2" type="noConversion"/>
  </si>
  <si>
    <t>2007年</t>
    <phoneticPr fontId="2" type="noConversion"/>
  </si>
  <si>
    <t>一、收入合计</t>
    <phoneticPr fontId="2" type="noConversion"/>
  </si>
  <si>
    <t>事业单位经营收入</t>
    <phoneticPr fontId="2" type="noConversion"/>
  </si>
  <si>
    <t>附属单位上缴收入</t>
    <phoneticPr fontId="2" type="noConversion"/>
  </si>
  <si>
    <t>二、支出合计</t>
    <phoneticPr fontId="2" type="noConversion"/>
  </si>
  <si>
    <t>其中：基本工资</t>
    <phoneticPr fontId="2" type="noConversion"/>
  </si>
  <si>
    <r>
      <t xml:space="preserve">           </t>
    </r>
    <r>
      <rPr>
        <sz val="10"/>
        <rFont val="宋体"/>
        <family val="3"/>
        <charset val="134"/>
      </rPr>
      <t>津贴</t>
    </r>
    <phoneticPr fontId="2" type="noConversion"/>
  </si>
  <si>
    <r>
      <t xml:space="preserve">           </t>
    </r>
    <r>
      <rPr>
        <sz val="10"/>
        <rFont val="宋体"/>
        <family val="3"/>
        <charset val="134"/>
      </rPr>
      <t>奖金</t>
    </r>
    <phoneticPr fontId="2" type="noConversion"/>
  </si>
  <si>
    <r>
      <t xml:space="preserve">           </t>
    </r>
    <r>
      <rPr>
        <sz val="10"/>
        <rFont val="宋体"/>
        <family val="3"/>
        <charset val="134"/>
      </rPr>
      <t>社会保障费</t>
    </r>
    <phoneticPr fontId="2" type="noConversion"/>
  </si>
  <si>
    <r>
      <t xml:space="preserve">           </t>
    </r>
    <r>
      <rPr>
        <sz val="10"/>
        <rFont val="宋体"/>
        <family val="3"/>
        <charset val="134"/>
      </rPr>
      <t>其他</t>
    </r>
    <phoneticPr fontId="2" type="noConversion"/>
  </si>
  <si>
    <t>对个人和家庭补助支出</t>
    <phoneticPr fontId="2" type="noConversion"/>
  </si>
  <si>
    <t>人员刚性支出合计</t>
    <phoneticPr fontId="2" type="noConversion"/>
  </si>
  <si>
    <t>办公费</t>
    <phoneticPr fontId="2" type="noConversion"/>
  </si>
  <si>
    <t>印刷费</t>
    <phoneticPr fontId="2" type="noConversion"/>
  </si>
  <si>
    <t>水电费</t>
    <phoneticPr fontId="2" type="noConversion"/>
  </si>
  <si>
    <t>邮电费</t>
    <phoneticPr fontId="2" type="noConversion"/>
  </si>
  <si>
    <t>取暖费</t>
    <phoneticPr fontId="2" type="noConversion"/>
  </si>
  <si>
    <t>交通费</t>
    <phoneticPr fontId="2" type="noConversion"/>
  </si>
  <si>
    <t>手续费</t>
    <phoneticPr fontId="2" type="noConversion"/>
  </si>
  <si>
    <t>差旅费</t>
    <phoneticPr fontId="2" type="noConversion"/>
  </si>
  <si>
    <t>会议费</t>
    <phoneticPr fontId="2" type="noConversion"/>
  </si>
  <si>
    <t>培训费</t>
    <phoneticPr fontId="2" type="noConversion"/>
  </si>
  <si>
    <t>招待费</t>
    <phoneticPr fontId="2" type="noConversion"/>
  </si>
  <si>
    <t>福利费</t>
    <phoneticPr fontId="2" type="noConversion"/>
  </si>
  <si>
    <t>劳务费</t>
    <phoneticPr fontId="2" type="noConversion"/>
  </si>
  <si>
    <t>就业补助费</t>
    <phoneticPr fontId="2" type="noConversion"/>
  </si>
  <si>
    <t>租赁费</t>
    <phoneticPr fontId="2" type="noConversion"/>
  </si>
  <si>
    <t>物业管理费</t>
    <phoneticPr fontId="2" type="noConversion"/>
  </si>
  <si>
    <t>工会经费</t>
    <phoneticPr fontId="2" type="noConversion"/>
  </si>
  <si>
    <t>其他</t>
    <phoneticPr fontId="2" type="noConversion"/>
  </si>
  <si>
    <t>其中:利息支出</t>
    <phoneticPr fontId="2" type="noConversion"/>
  </si>
  <si>
    <t>日常公用支出合计</t>
    <phoneticPr fontId="2" type="noConversion"/>
  </si>
  <si>
    <t>维修费</t>
    <phoneticPr fontId="2" type="noConversion"/>
  </si>
  <si>
    <t>办公设备购置费</t>
    <phoneticPr fontId="2" type="noConversion"/>
  </si>
  <si>
    <t>专用设备购置费</t>
    <phoneticPr fontId="2" type="noConversion"/>
  </si>
  <si>
    <t>交通工具购置费</t>
    <phoneticPr fontId="2" type="noConversion"/>
  </si>
  <si>
    <t>图书资料购置费</t>
    <phoneticPr fontId="2" type="noConversion"/>
  </si>
  <si>
    <t>基础设施建设</t>
    <phoneticPr fontId="2" type="noConversion"/>
  </si>
  <si>
    <t>大型修缮</t>
    <phoneticPr fontId="2" type="noConversion"/>
  </si>
  <si>
    <t>信息网络购建</t>
    <phoneticPr fontId="2" type="noConversion"/>
  </si>
  <si>
    <t>其他资本性支出</t>
    <phoneticPr fontId="2" type="noConversion"/>
  </si>
  <si>
    <t>固定资产购建及其他支出</t>
    <phoneticPr fontId="2" type="noConversion"/>
  </si>
  <si>
    <t>项目支出</t>
    <phoneticPr fontId="2" type="noConversion"/>
  </si>
  <si>
    <t>其中:其他</t>
    <phoneticPr fontId="2" type="noConversion"/>
  </si>
  <si>
    <t>拨出专款</t>
    <phoneticPr fontId="2" type="noConversion"/>
  </si>
  <si>
    <t>拨出经费</t>
    <phoneticPr fontId="2" type="noConversion"/>
  </si>
  <si>
    <t>债务利息支出</t>
    <phoneticPr fontId="2" type="noConversion"/>
  </si>
  <si>
    <t>结转自筹基建(房屋建筑物构建)</t>
    <phoneticPr fontId="2" type="noConversion"/>
  </si>
  <si>
    <t>收支结余</t>
    <phoneticPr fontId="2" type="noConversion"/>
  </si>
  <si>
    <t>可支配结余</t>
    <phoneticPr fontId="2" type="noConversion"/>
  </si>
  <si>
    <r>
      <t xml:space="preserve">             </t>
    </r>
    <r>
      <rPr>
        <sz val="10"/>
        <rFont val="宋体"/>
        <family val="3"/>
        <charset val="134"/>
      </rPr>
      <t>投资基金</t>
    </r>
    <phoneticPr fontId="2" type="noConversion"/>
  </si>
  <si>
    <t>固定基金</t>
    <phoneticPr fontId="2" type="noConversion"/>
  </si>
  <si>
    <t>专用基金</t>
    <phoneticPr fontId="2" type="noConversion"/>
  </si>
  <si>
    <t>基本建设资金来源合计</t>
    <phoneticPr fontId="2" type="noConversion"/>
  </si>
  <si>
    <t>其中：基建借款</t>
    <phoneticPr fontId="2" type="noConversion"/>
  </si>
  <si>
    <t>五、负债部类合计</t>
    <phoneticPr fontId="2" type="noConversion"/>
  </si>
  <si>
    <t>6月</t>
    <phoneticPr fontId="2" type="noConversion"/>
  </si>
  <si>
    <t>4月</t>
    <phoneticPr fontId="2" type="noConversion"/>
  </si>
  <si>
    <t>8月</t>
    <phoneticPr fontId="2" type="noConversion"/>
  </si>
  <si>
    <t>2月</t>
    <phoneticPr fontId="2" type="noConversion"/>
  </si>
  <si>
    <t>5月</t>
    <phoneticPr fontId="2" type="noConversion"/>
  </si>
  <si>
    <t>计划增加长期的贷款置换短期的流贷。。</t>
    <phoneticPr fontId="2" type="noConversion"/>
  </si>
  <si>
    <t>六排窑洞配套设施</t>
    <phoneticPr fontId="2" type="noConversion"/>
  </si>
  <si>
    <t>全国</t>
    <phoneticPr fontId="2" type="noConversion"/>
  </si>
  <si>
    <t>6#公寓</t>
    <phoneticPr fontId="2" type="noConversion"/>
  </si>
  <si>
    <t>已经决算</t>
    <phoneticPr fontId="2" type="noConversion"/>
  </si>
  <si>
    <t>8#教学楼</t>
    <phoneticPr fontId="2" type="noConversion"/>
  </si>
  <si>
    <t>新区1#公寓</t>
    <phoneticPr fontId="2" type="noConversion"/>
  </si>
  <si>
    <t>新区食堂</t>
    <phoneticPr fontId="2" type="noConversion"/>
  </si>
  <si>
    <t>新区田径场</t>
    <phoneticPr fontId="2" type="noConversion"/>
  </si>
  <si>
    <t>信息大厦</t>
    <phoneticPr fontId="2" type="noConversion"/>
  </si>
  <si>
    <t>音乐楼（艺术楼）</t>
    <phoneticPr fontId="2" type="noConversion"/>
  </si>
  <si>
    <t>医学院田径场</t>
    <phoneticPr fontId="2" type="noConversion"/>
  </si>
  <si>
    <t>支付音乐楼和信息大厦工程配套款项和实验室建设。</t>
    <phoneticPr fontId="2" type="noConversion"/>
  </si>
  <si>
    <t>4、学校银行借款总额为5.73亿，除农行的委托贷款外,其他基本为1-3年的短期流动资金贷款,从07年、08年、09年的学校到期贷款的续贷能力以及新增的贷款额度可以看出，学校在银行系的融资能力比较强。</t>
    <phoneticPr fontId="2" type="noConversion"/>
  </si>
  <si>
    <t>根据财务处长介绍，学校在银行系的信用状况良好，通过学校的银行贷款结构和历年的续贷分析，学校在银行系具有很好的信用。学校09年新增贷款近1.2亿，主要是为09年后国家货币政策紧缩后短期流贷续贷困难做充分的准备。</t>
    <phoneticPr fontId="2" type="noConversion"/>
  </si>
  <si>
    <t>三本院校股权收购和债务偿还</t>
    <phoneticPr fontId="2" type="noConversion"/>
  </si>
  <si>
    <t>农行延安分行</t>
    <phoneticPr fontId="2" type="noConversion"/>
  </si>
  <si>
    <t>备注：以下数据均来自现场复核的电脑台帐数据，该数据与报表不符，主要原因是合并了基建报表的数据。</t>
    <phoneticPr fontId="2" type="noConversion"/>
  </si>
  <si>
    <t>截止到2008年12月31日，学校无新的基建项目，对于基建的投入还是以前的在建工程，主要是支付信息大厦近3000万，河堤工程支付1100万。学校翠苑校区的启动，主要是看申请国家发改委的2亿资金是否能够到位，如果不到位，学校无开工计划。</t>
    <phoneticPr fontId="2" type="noConversion"/>
  </si>
  <si>
    <t>农行延安分行</t>
    <phoneticPr fontId="2" type="noConversion"/>
  </si>
  <si>
    <t>4月</t>
    <phoneticPr fontId="2" type="noConversion"/>
  </si>
  <si>
    <t>建行延安</t>
    <phoneticPr fontId="2" type="noConversion"/>
  </si>
  <si>
    <t>招行</t>
    <phoneticPr fontId="2" type="noConversion"/>
  </si>
  <si>
    <t>经现金流分析,学院资金较紧张，经综合判断，我司租金安全性仍较高，该项目建议操作。</t>
    <phoneticPr fontId="2" type="noConversion"/>
  </si>
  <si>
    <t>借款流入</t>
    <phoneticPr fontId="2" type="noConversion"/>
  </si>
  <si>
    <t>7、学校目前通过我司融资主要目的是支付艺术楼、信息大厦等基建项目的配套设施以及省级重点实验室建设。</t>
    <phoneticPr fontId="2" type="noConversion"/>
  </si>
  <si>
    <t>8、我司于2008年与学校签署了2500万的回租项目，偿还了一期租金,没有出现逾期记录，信用良好。</t>
    <phoneticPr fontId="2" type="noConversion"/>
  </si>
  <si>
    <t>3,在与学院院长和财务处长沟通过程中,明确此项目是金融行为,而非普通的商业行为,具有严肃性,不可以逾期。密切关注学校对于创新学院股权的收购过程和结果，如果收购成功，对于学校的股权收购投入而导致的学校资金紧张问题需要和学校的主管财务校长沟通，加强学校的还款意愿。与学校的领导层沟通，创新学院的收购成功与否，都不能影响我司的资金安全，进一步加强还款意愿。</t>
    <phoneticPr fontId="2" type="noConversion"/>
  </si>
  <si>
    <t>还原后的08年事业收入</t>
    <phoneticPr fontId="2" type="noConversion"/>
  </si>
  <si>
    <t>还原后的08年总收入</t>
    <phoneticPr fontId="2" type="noConversion"/>
  </si>
  <si>
    <t>创新学院</t>
    <phoneticPr fontId="2" type="noConversion"/>
  </si>
  <si>
    <t>收支结余</t>
    <phoneticPr fontId="2" type="noConversion"/>
  </si>
  <si>
    <t>还原后的08年可支配结余(1)</t>
    <phoneticPr fontId="2" type="noConversion"/>
  </si>
  <si>
    <t>还原后的08年可支配结余（2）</t>
    <phoneticPr fontId="2" type="noConversion"/>
  </si>
  <si>
    <t>还原后的08年可支配比例（1）</t>
    <phoneticPr fontId="2" type="noConversion"/>
  </si>
  <si>
    <t>还原后的08年可支配比例（2）</t>
    <phoneticPr fontId="2" type="noConversion"/>
  </si>
  <si>
    <t>创新学院股权投资</t>
    <phoneticPr fontId="2" type="noConversion"/>
  </si>
  <si>
    <t>09年利息合计</t>
    <phoneticPr fontId="2" type="noConversion"/>
  </si>
  <si>
    <t>创新学院3000万贷款偿还</t>
    <phoneticPr fontId="2" type="noConversion"/>
  </si>
  <si>
    <t>从学校的银行贷款结构看主要是短期的流动资金贷款，从贷款的总额分析，基本上到期后都可以续贷成功，现金流预测基于保守原则，未来5年每年偿还银行贷款本金1000万。通过测算,学校的银行借款平均利率为6.45%,学校偿还银行贷款本金,按照6.45%测算.</t>
    <phoneticPr fontId="2" type="noConversion"/>
  </si>
  <si>
    <t>平均利率</t>
    <phoneticPr fontId="2" type="noConversion"/>
  </si>
  <si>
    <t>马安</t>
  </si>
  <si>
    <t>单位:元</t>
    <phoneticPr fontId="2" type="noConversion"/>
  </si>
  <si>
    <t>科目</t>
    <phoneticPr fontId="2" type="noConversion"/>
  </si>
  <si>
    <t>08年度</t>
    <phoneticPr fontId="2" type="noConversion"/>
  </si>
  <si>
    <t>07年度</t>
    <phoneticPr fontId="2" type="noConversion"/>
  </si>
  <si>
    <t>06年度</t>
    <phoneticPr fontId="2" type="noConversion"/>
  </si>
  <si>
    <t>一、基本建设支出</t>
    <phoneticPr fontId="2" type="noConversion"/>
  </si>
  <si>
    <t>（一）交付使用固定资产</t>
    <phoneticPr fontId="2" type="noConversion"/>
  </si>
  <si>
    <t>（二）待核销基建支出</t>
    <phoneticPr fontId="2" type="noConversion"/>
  </si>
  <si>
    <t>（三）转出投资</t>
    <phoneticPr fontId="2" type="noConversion"/>
  </si>
  <si>
    <t>（四）在建工程</t>
    <phoneticPr fontId="2" type="noConversion"/>
  </si>
  <si>
    <t>1、建安投资</t>
    <phoneticPr fontId="2" type="noConversion"/>
  </si>
  <si>
    <t>2、设备投资</t>
    <phoneticPr fontId="2" type="noConversion"/>
  </si>
  <si>
    <t>3、待摊投资</t>
    <phoneticPr fontId="2" type="noConversion"/>
  </si>
  <si>
    <t>4、其他</t>
    <phoneticPr fontId="2" type="noConversion"/>
  </si>
  <si>
    <t>二、预收及应收款合计</t>
    <phoneticPr fontId="2" type="noConversion"/>
  </si>
  <si>
    <t>1、预付材料款</t>
    <phoneticPr fontId="2" type="noConversion"/>
  </si>
  <si>
    <t>2、预付工程款</t>
    <phoneticPr fontId="2" type="noConversion"/>
  </si>
  <si>
    <t>3、预付设备款</t>
    <phoneticPr fontId="2" type="noConversion"/>
  </si>
  <si>
    <t>4、其他应收款</t>
    <phoneticPr fontId="2" type="noConversion"/>
  </si>
  <si>
    <t>三、货币资金</t>
    <phoneticPr fontId="2" type="noConversion"/>
  </si>
  <si>
    <t>四、其他(应付票据）</t>
    <phoneticPr fontId="2" type="noConversion"/>
  </si>
  <si>
    <t>基建资金占用合计</t>
    <phoneticPr fontId="2" type="noConversion"/>
  </si>
  <si>
    <t>一、基建拨款</t>
    <phoneticPr fontId="2" type="noConversion"/>
  </si>
  <si>
    <t>（一）以前年度拨款</t>
    <phoneticPr fontId="2" type="noConversion"/>
  </si>
  <si>
    <t>1、中央</t>
    <phoneticPr fontId="2" type="noConversion"/>
  </si>
  <si>
    <t>2、地方</t>
    <phoneticPr fontId="2" type="noConversion"/>
  </si>
  <si>
    <t>（二）本年度拨款</t>
    <phoneticPr fontId="2" type="noConversion"/>
  </si>
  <si>
    <t>（三）预收下年度拨款</t>
    <phoneticPr fontId="2" type="noConversion"/>
  </si>
  <si>
    <t>二、基建借款</t>
    <phoneticPr fontId="2" type="noConversion"/>
  </si>
  <si>
    <t>银行借款</t>
    <phoneticPr fontId="2" type="noConversion"/>
  </si>
  <si>
    <t>三、应付款</t>
    <phoneticPr fontId="2" type="noConversion"/>
  </si>
  <si>
    <t>1、应付器材款</t>
    <phoneticPr fontId="2" type="noConversion"/>
  </si>
  <si>
    <t>2、应付工程款</t>
    <phoneticPr fontId="2" type="noConversion"/>
  </si>
  <si>
    <t>3、其他应付款</t>
    <phoneticPr fontId="2" type="noConversion"/>
  </si>
  <si>
    <t>四、其他</t>
    <phoneticPr fontId="2" type="noConversion"/>
  </si>
  <si>
    <t>基建资金来源合计</t>
    <phoneticPr fontId="2" type="noConversion"/>
  </si>
  <si>
    <t>单位：万元</t>
    <phoneticPr fontId="2" type="noConversion"/>
  </si>
  <si>
    <t>已合作项目简介</t>
    <phoneticPr fontId="2" type="noConversion"/>
  </si>
  <si>
    <t>项目</t>
    <phoneticPr fontId="2" type="noConversion"/>
  </si>
  <si>
    <t>一期</t>
    <phoneticPr fontId="2" type="noConversion"/>
  </si>
  <si>
    <t>二期</t>
    <phoneticPr fontId="2" type="noConversion"/>
  </si>
  <si>
    <t>三期</t>
    <phoneticPr fontId="2" type="noConversion"/>
  </si>
  <si>
    <t>物件描述</t>
    <phoneticPr fontId="2" type="noConversion"/>
  </si>
  <si>
    <t>教学设备</t>
    <phoneticPr fontId="2" type="noConversion"/>
  </si>
  <si>
    <t>项目金额</t>
    <phoneticPr fontId="2" type="noConversion"/>
  </si>
  <si>
    <t>融资额及比例</t>
    <phoneticPr fontId="2" type="noConversion"/>
  </si>
  <si>
    <t>租金总期数</t>
    <phoneticPr fontId="2" type="noConversion"/>
  </si>
  <si>
    <t>偿还笔数</t>
    <phoneticPr fontId="2" type="noConversion"/>
  </si>
  <si>
    <t>偿还租金</t>
    <phoneticPr fontId="2" type="noConversion"/>
  </si>
  <si>
    <t>剩余本金</t>
    <phoneticPr fontId="2" type="noConversion"/>
  </si>
  <si>
    <t>逾期笔数</t>
    <phoneticPr fontId="2" type="noConversion"/>
  </si>
  <si>
    <t>逾期原因分析</t>
    <phoneticPr fontId="2" type="noConversion"/>
  </si>
  <si>
    <t>无</t>
    <phoneticPr fontId="2" type="noConversion"/>
  </si>
  <si>
    <t>项目巡视以
及重大事项</t>
    <phoneticPr fontId="2" type="noConversion"/>
  </si>
  <si>
    <t>风管清单政策执行</t>
    <phoneticPr fontId="2" type="noConversion"/>
  </si>
  <si>
    <t>严格按照风管清单政策执行</t>
    <phoneticPr fontId="2" type="noConversion"/>
  </si>
  <si>
    <t>前期项目资
金使用情况</t>
    <phoneticPr fontId="2" type="noConversion"/>
  </si>
  <si>
    <t>支付工程款。</t>
    <phoneticPr fontId="2" type="noConversion"/>
  </si>
  <si>
    <t>大学</t>
    <phoneticPr fontId="2" type="noConversion"/>
  </si>
  <si>
    <t>1.6 项目综评结论(定量/定性,能力/意愿)</t>
    <phoneticPr fontId="2" type="noConversion"/>
  </si>
  <si>
    <t>服务费比例</t>
    <phoneticPr fontId="2" type="noConversion"/>
  </si>
  <si>
    <t>租金报价方式</t>
    <phoneticPr fontId="2" type="noConversion"/>
  </si>
  <si>
    <t>09年 月</t>
    <phoneticPr fontId="2" type="noConversion"/>
  </si>
  <si>
    <r>
      <t>2002</t>
    </r>
    <r>
      <rPr>
        <sz val="10"/>
        <rFont val="宋体"/>
        <family val="3"/>
        <charset val="134"/>
      </rPr>
      <t>年后收入</t>
    </r>
    <phoneticPr fontId="2" type="noConversion"/>
  </si>
  <si>
    <r>
      <t>2003</t>
    </r>
    <r>
      <rPr>
        <sz val="10"/>
        <rFont val="宋体"/>
        <family val="3"/>
        <charset val="134"/>
      </rPr>
      <t>年后收入</t>
    </r>
    <phoneticPr fontId="2" type="noConversion"/>
  </si>
  <si>
    <r>
      <t>2003</t>
    </r>
    <r>
      <rPr>
        <sz val="10"/>
        <rFont val="宋体"/>
        <family val="3"/>
        <charset val="134"/>
      </rPr>
      <t>年后占用</t>
    </r>
    <phoneticPr fontId="2" type="noConversion"/>
  </si>
  <si>
    <r>
      <t>2004</t>
    </r>
    <r>
      <rPr>
        <sz val="10"/>
        <rFont val="宋体"/>
        <family val="3"/>
        <charset val="134"/>
      </rPr>
      <t>年后收入</t>
    </r>
    <phoneticPr fontId="2" type="noConversion"/>
  </si>
  <si>
    <r>
      <t>2005</t>
    </r>
    <r>
      <rPr>
        <sz val="10"/>
        <rFont val="宋体"/>
        <family val="3"/>
        <charset val="134"/>
      </rPr>
      <t>年后收入</t>
    </r>
    <phoneticPr fontId="2" type="noConversion"/>
  </si>
  <si>
    <r>
      <t>2005</t>
    </r>
    <r>
      <rPr>
        <sz val="10"/>
        <rFont val="宋体"/>
        <family val="3"/>
        <charset val="134"/>
      </rPr>
      <t>年后占用</t>
    </r>
    <phoneticPr fontId="2" type="noConversion"/>
  </si>
  <si>
    <r>
      <t>2006</t>
    </r>
    <r>
      <rPr>
        <sz val="10"/>
        <rFont val="宋体"/>
        <family val="3"/>
        <charset val="134"/>
      </rPr>
      <t>年后收入</t>
    </r>
    <phoneticPr fontId="2" type="noConversion"/>
  </si>
  <si>
    <r>
      <t>2006</t>
    </r>
    <r>
      <rPr>
        <sz val="10"/>
        <rFont val="宋体"/>
        <family val="3"/>
        <charset val="134"/>
      </rPr>
      <t>年后占用</t>
    </r>
    <phoneticPr fontId="2" type="noConversion"/>
  </si>
  <si>
    <r>
      <t>2007</t>
    </r>
    <r>
      <rPr>
        <sz val="10"/>
        <rFont val="宋体"/>
        <family val="3"/>
        <charset val="134"/>
      </rPr>
      <t>年后占用</t>
    </r>
    <phoneticPr fontId="2" type="noConversion"/>
  </si>
  <si>
    <r>
      <t>2009</t>
    </r>
    <r>
      <rPr>
        <sz val="10"/>
        <rFont val="宋体"/>
        <family val="3"/>
        <charset val="134"/>
      </rPr>
      <t>年后收入</t>
    </r>
    <phoneticPr fontId="2" type="noConversion"/>
  </si>
  <si>
    <r>
      <t>2009</t>
    </r>
    <r>
      <rPr>
        <sz val="10"/>
        <rFont val="宋体"/>
        <family val="3"/>
        <charset val="134"/>
      </rPr>
      <t>年后占用</t>
    </r>
    <phoneticPr fontId="2" type="noConversion"/>
  </si>
  <si>
    <r>
      <t>2010</t>
    </r>
    <r>
      <rPr>
        <sz val="10"/>
        <rFont val="宋体"/>
        <family val="3"/>
        <charset val="134"/>
      </rPr>
      <t>年后收入</t>
    </r>
    <phoneticPr fontId="2" type="noConversion"/>
  </si>
  <si>
    <r>
      <t>2011</t>
    </r>
    <r>
      <rPr>
        <sz val="10"/>
        <rFont val="宋体"/>
        <family val="3"/>
        <charset val="134"/>
      </rPr>
      <t>年后收入</t>
    </r>
    <phoneticPr fontId="2" type="noConversion"/>
  </si>
  <si>
    <r>
      <t>2011</t>
    </r>
    <r>
      <rPr>
        <sz val="10"/>
        <rFont val="宋体"/>
        <family val="3"/>
        <charset val="134"/>
      </rPr>
      <t>年后占用</t>
    </r>
    <phoneticPr fontId="2" type="noConversion"/>
  </si>
  <si>
    <t>毕业于延安医学院。先后从事医学临床工作，人事管理工作，党务管理工作，医学教学和行政工作。2006年至今从事财务管理工作。</t>
    <phoneticPr fontId="2" type="noConversion"/>
  </si>
  <si>
    <t>XX大学非教学类设备售后回租赁项目</t>
    <phoneticPr fontId="2" type="noConversion"/>
  </si>
  <si>
    <t>租赁期限(月)</t>
    <phoneticPr fontId="2" type="noConversion"/>
  </si>
  <si>
    <r>
      <t>收入确认方式:</t>
    </r>
    <r>
      <rPr>
        <sz val="10"/>
        <rFont val="宋体"/>
        <family val="3"/>
        <charset val="134"/>
      </rPr>
      <t xml:space="preserve"> 当年事业收入上缴财政，当年返还。</t>
    </r>
    <phoneticPr fontId="2" type="noConversion"/>
  </si>
  <si>
    <t>其他支出（租赁一期）</t>
    <phoneticPr fontId="2" type="noConversion"/>
  </si>
  <si>
    <t>设备投入未来3年每年1000万；XX校区的基建投入，除征地和河堤工程投入外，其他的基建计划没有在此现金流预测中，主要是因为学校计划通过申请国家发改委的资金搞基建，如果申请资金不到位，学校不计划举债搞建设。</t>
    <phoneticPr fontId="2" type="noConversion"/>
  </si>
  <si>
    <t>通过与财务处XX主任和XX老师沟通，学校计划2009年投资7000万左右的金额以学校后勤集团的名义收购创新学院70%的股权，具体细节还在洽谈中(创新学院资产1.52亿，其中负债8400万，净资产6800万，双方目前正在协商的收购价是按照学院的净资产确定的，具体明细参见提供的答复）。如果收购成功，预计09年支出收购款7000万，支付创新学院银行贷款3000万。</t>
    <phoneticPr fontId="2" type="noConversion"/>
  </si>
  <si>
    <t>学校历史悠久，学校以此名义，积极争取各级政府支持，根据06年以来的财拨情况，每年保持增长，学校萃园校区的建设主要依靠国家资金的支持，现金流的预测中保守预测，08年以后每年在此基础上增加500万，连续5年不变。</t>
    <phoneticPr fontId="2" type="noConversion"/>
  </si>
  <si>
    <t>现金流预测中，基于最保守的原则,假设X大收购XX学院100%股权后,且没有找到合适的第三方投资商,根据教育部26号文件精神,延大不会继续投入,延大接受已在册学生,不再招收新生。创新学院上缴延大的30%收入,从2009年开始每年递减25%。</t>
    <phoneticPr fontId="2" type="noConversion"/>
  </si>
  <si>
    <t>可支配结余比例测算，剔除学校08年收XX学院1800万，还原学校08年总收入。假设学校08年没有1800万的额外收入，其08年固定资产购建少支出1800万。还原后的可支配结余比例为30.13%，现金流预测未来5年按照此比例测算。</t>
    <phoneticPr fontId="2" type="noConversion"/>
  </si>
  <si>
    <t>基建投放主要是已建工程和在建工程以及XX校区的土地费和河堤工程,详见基建工程投放方面的分析。另，计划建设的2个工程均为申请政府资金项目，如果学校申请不到不计划动工，现金流预测中没有考虑未来的基建投入。河堤工程尾款学校计划向政府以市政工程的名义,申请市政府拨款,根据现金流谨慎原则,对于河堤工程的政府拨款流入暂不予考虑.</t>
    <phoneticPr fontId="2" type="noConversion"/>
  </si>
  <si>
    <t>学校在2008年借XX石油5000万，期限半年，2009年8月查账，学校没有偿还，根据XX主任介绍，学校通过市政府协调不计划偿还.</t>
    <phoneticPr fontId="2" type="noConversion"/>
  </si>
  <si>
    <t>改造后，改为酒店，并且转出承包，目前由承包商在前修建一栋6层的建筑物，主要用于娱乐设施的配套，所有资金由建筑商垫付，承包商承包15年。具体细节是：承包商预缴前3年的承包费500万，后12年每年140万，用承包费抵清建筑投资后，资产归学校所有。故此现金流预测不包含对该项目的资金流入和流出。</t>
    <phoneticPr fontId="2" type="noConversion"/>
  </si>
  <si>
    <t>X大收购XX学院70%股权后，学校的主要工作是寻找第三方投资商，如果找到合适的投资商学校将卖掉70%股权。如果学校寻找不到第三方投资商，学校不会为XX学院继续投入资金，因为XX学院不是真正意义上的独立学院。</t>
    <phoneticPr fontId="2" type="noConversion"/>
  </si>
  <si>
    <t>备注：09年借款流入，行政账户借款2009年期初10900万，期末12455万，基建账户期初余额37172万。截止2009年8月银行贷款总额为57318万，XX石油借款5000万。</t>
    <phoneticPr fontId="2" type="noConversion"/>
  </si>
  <si>
    <t>学校08年5月份获得XX石油集团5000万元流动资金贷款.期限是6个月，08年9月到期。担保单位是市政府。政府表示如果学校到期不能偿还贷款，政府将减免XX集团的石油勘查等费。经查账，该笔5000万借款还在行政帐的借入款项中，按照合同约定应该在2008年11月偿还。XX主任解释，由于XX大学学科强项是化工，学校与集团正在进一步协商在化工方面的合作，该款项学校不计划偿还。个人判断该笔款近期内不会偿还。</t>
    <phoneticPr fontId="2" type="noConversion"/>
  </si>
  <si>
    <t>学校的职工集资主要是通过农行的委托贷款方式处理，委托贷款的期限比较长，利率比较高，到期后均可续贷。（财务处XX主任介绍职工集资基本保持稳定）</t>
    <phoneticPr fontId="2" type="noConversion"/>
  </si>
  <si>
    <t>财务处XX主任介绍，该项目是学校计划将旧的医学院食堂进行改造而立的项目，主要是计划通过申请政府项目拨款建造，如果政府款项不到位，学校不急于投入。</t>
    <phoneticPr fontId="2" type="noConversion"/>
  </si>
  <si>
    <t>财务处XX主任介绍，该项目是学校虚立的一个项目，主要是想美化现有的天桥，学校认为属于市政工程，申请市资金进行美化，如果不到位也不着急美化。</t>
    <phoneticPr fontId="2" type="noConversion"/>
  </si>
  <si>
    <t>配套工程(河堤)</t>
    <phoneticPr fontId="2" type="noConversion"/>
  </si>
  <si>
    <t>1、是 创办的第一所综合性大学 学校发展得到省、市政府的大力支持。</t>
    <phoneticPr fontId="2" type="noConversion"/>
  </si>
  <si>
    <t>5、学校计划收购 学院的70%股权，预计交易价格为7000万，根据教育部独立院校的相关规定，独立院校必须独立的政策，不论本次收购成功与否，交易价格最终是多少，都不影响我司的资金安全。</t>
    <phoneticPr fontId="2" type="noConversion"/>
  </si>
  <si>
    <t>6、学校计划新建 校区，概算投资8亿，资金来源主要是申请国家发改委2亿，学校自筹6亿（学校已经在校本部投入项目近2.8亿）,根据财务处 介绍,如果国家发改委的资金不到位,学校不会考虑启动新校区的建设,学校自筹资金会给学校带来巨大的财务压力.学校对新校区的建设持谨慎态度,不计划举债建设.</t>
    <phoneticPr fontId="2" type="noConversion"/>
  </si>
  <si>
    <t xml:space="preserve"> </t>
    <phoneticPr fontId="2" type="noConversion"/>
  </si>
  <si>
    <t xml:space="preserve"> </t>
    <phoneticPr fontId="2" type="noConversion"/>
  </si>
  <si>
    <t xml:space="preserve"> </t>
    <phoneticPr fontId="2" type="noConversion"/>
  </si>
  <si>
    <t xml:space="preserve"> </t>
    <phoneticPr fontId="2" type="noConversion"/>
  </si>
  <si>
    <t>学科设置及办学优势</t>
    <phoneticPr fontId="2" type="noConversion"/>
  </si>
  <si>
    <t xml:space="preserve"> </t>
    <phoneticPr fontId="2" type="noConversion"/>
  </si>
  <si>
    <t>独立办学，每年按照与XX大学的合作协议按收入比例上缴收入。目前在校生6000人。按照XX大学与XX实业投资有限公司合作创办独立学院协议书约定，XX学院学费收入按照30％上缴XX大学。据财务处主任介绍，学校计划收购XX学院的70%股权，具体的收购细节还没有最终确定。</t>
    <phoneticPr fontId="2" type="noConversion"/>
  </si>
  <si>
    <t>主要构成是：08年为10242万元。08年应收及暂付包括  项目暂付4878万，后勤集团借款430万，其他暂付3075万主要为  暂付2000万。其他主要是教学业务费和公务费等项的暂付。</t>
    <phoneticPr fontId="2" type="noConversion"/>
  </si>
  <si>
    <t>06年应付款10665万元，其中其他应付8025万元(主要是基建周转金),其他暂存856万元,暂存房款802万元;07年应付款是8654万元，主要是其他应付1661万元,应付基建周转金999万元,其他暂存846万元,暂存小区2525万元,暂存 苑房款981万元,暂存 园房款816万元,暂存校内旧房款860万元;2008年末应付款项是3826万，主要是 园小区2300万、购房款、保证金、质保金等内容；2009年8月应付及暂存5499万，主要是公积金小区2300万，房款和质保金等。</t>
    <phoneticPr fontId="2" type="noConversion"/>
  </si>
  <si>
    <t>其他应付：2007年为1661万，2008年末为6622万，主要明细是公积金900万，其他暂存918万，暂存 小区1919万，暂存 园981万， 园810万，旧房款888万，基建往来7568万等；</t>
    <phoneticPr fontId="2" type="noConversion"/>
  </si>
  <si>
    <t>财政拨款基本保持增加势头。学校的事业收入自2007年以来基本保持稳定（08年较少主要是欠费）。08年其他收入中有一部分是XX学院的上缴收入，大概800万，根据学校介绍，学校的其他收入每年基本保持400-500万左右。</t>
    <phoneticPr fontId="2" type="noConversion"/>
  </si>
  <si>
    <t>据财务处长介绍，学校的征地费用已经付清，剩余的2262万主要是补偿款，计划在09年和2010年付清，资金来源是自筹；河堤工程款计划在2010年付清，主要资金来源 市政府市政工程款项的申请。（学校认为河堤工程为市政工程理应由市政府承担建设费用）</t>
    <phoneticPr fontId="2" type="noConversion"/>
  </si>
  <si>
    <t>六排 重建</t>
    <phoneticPr fontId="2" type="noConversion"/>
  </si>
  <si>
    <t xml:space="preserve"> 市政府市政工程款</t>
    <phoneticPr fontId="2" type="noConversion"/>
  </si>
  <si>
    <t>1、 省教育厅资金处专门管理学校贷款额度，目前主要工作是协调建行给与所属高校长期贷款以置换流动资金贷款。据资金处 处长介绍，目前有6家高校已经置换完成或正在置换中。2、总体上看， 高校基建基本在前1－2年已经完工， 大学属于基建较慢的学校。各个学校的具体情况还需要进一步了解。 高校整体上基建进入尾声，同时教育厅有专门机构管理并协调银行关系，因此从目前了解的情况看，银行比较支持高校发展。</t>
    <phoneticPr fontId="2" type="noConversion"/>
  </si>
  <si>
    <t xml:space="preserve">高等教育项目尽职调查报告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</si>
</sst>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7">
    <numFmt numFmtId="43" formatCode="_ * #,##0.00_ ;_ * \-#,##0.00_ ;_ * &quot;-&quot;??_ ;_ @_ "/>
    <numFmt numFmtId="176" formatCode="#,##0_ "/>
    <numFmt numFmtId="177" formatCode="#,##0.00_);[Red]\(#,##0.00\)"/>
    <numFmt numFmtId="178" formatCode="0_ "/>
    <numFmt numFmtId="179" formatCode="#,##0.00_ "/>
    <numFmt numFmtId="180" formatCode="0.0000%"/>
    <numFmt numFmtId="181" formatCode="0_);[Red]\(0\)"/>
    <numFmt numFmtId="182" formatCode="#,##0.00_ ;[Red]\-#,##0.00\ "/>
    <numFmt numFmtId="183" formatCode="0.00000000%"/>
    <numFmt numFmtId="184" formatCode="#,##0.0_ ;[Red]\-#,##0.0\ "/>
    <numFmt numFmtId="185" formatCode="#,##0.00_);\(#,##0.00\)"/>
    <numFmt numFmtId="186" formatCode="#,##0.000_ ;[Red]\-#,##0.000\ "/>
    <numFmt numFmtId="187" formatCode="m&quot;月&quot;d&quot;日&quot;;@"/>
    <numFmt numFmtId="188" formatCode="[$-F800]dddd\,\ mmmm\ dd\,\ yyyy"/>
    <numFmt numFmtId="189" formatCode="yyyy&quot;年&quot;m&quot;月&quot;d&quot;日&quot;;@"/>
    <numFmt numFmtId="190" formatCode="yyyy&quot;年&quot;m&quot;月&quot;;@"/>
    <numFmt numFmtId="191" formatCode="#,##0.000_ "/>
  </numFmts>
  <fonts count="25" x14ac:knownFonts="1">
    <font>
      <sz val="12"/>
      <name val="宋体"/>
      <charset val="134"/>
    </font>
    <font>
      <sz val="12"/>
      <name val="宋体"/>
      <family val="3"/>
      <charset val="134"/>
    </font>
    <font>
      <sz val="9"/>
      <name val="宋体"/>
      <family val="3"/>
      <charset val="134"/>
    </font>
    <font>
      <b/>
      <sz val="10"/>
      <name val="宋体"/>
      <family val="3"/>
      <charset val="134"/>
    </font>
    <font>
      <sz val="10"/>
      <name val="宋体"/>
      <family val="3"/>
      <charset val="134"/>
    </font>
    <font>
      <b/>
      <sz val="10"/>
      <name val="Times New Roman"/>
      <family val="1"/>
    </font>
    <font>
      <sz val="10"/>
      <name val="Times New Roman"/>
      <family val="1"/>
    </font>
    <font>
      <b/>
      <sz val="9"/>
      <name val="宋体"/>
      <family val="3"/>
      <charset val="134"/>
    </font>
    <font>
      <b/>
      <sz val="10"/>
      <color indexed="10"/>
      <name val="宋体"/>
      <family val="3"/>
      <charset val="134"/>
    </font>
    <font>
      <sz val="12"/>
      <name val="宋体"/>
      <family val="3"/>
      <charset val="134"/>
    </font>
    <font>
      <sz val="12"/>
      <name val="Times New Roman"/>
      <family val="1"/>
    </font>
    <font>
      <b/>
      <sz val="9"/>
      <color indexed="81"/>
      <name val="宋体"/>
      <family val="3"/>
      <charset val="134"/>
    </font>
    <font>
      <sz val="9"/>
      <color indexed="81"/>
      <name val="宋体"/>
      <family val="3"/>
      <charset val="134"/>
    </font>
    <font>
      <sz val="10"/>
      <color indexed="81"/>
      <name val="宋体"/>
      <family val="3"/>
      <charset val="134"/>
    </font>
    <font>
      <b/>
      <sz val="10"/>
      <color indexed="81"/>
      <name val="宋体"/>
      <family val="3"/>
      <charset val="134"/>
    </font>
    <font>
      <sz val="11"/>
      <name val="Times New Roman"/>
      <family val="1"/>
    </font>
    <font>
      <b/>
      <sz val="10"/>
      <color indexed="10"/>
      <name val="Arial"/>
      <family val="2"/>
    </font>
    <font>
      <sz val="10"/>
      <name val="Arial"/>
      <family val="2"/>
    </font>
    <font>
      <b/>
      <sz val="10"/>
      <name val="Arial"/>
      <family val="2"/>
    </font>
    <font>
      <sz val="10"/>
      <color theme="0"/>
      <name val="宋体"/>
      <family val="3"/>
      <charset val="134"/>
    </font>
    <font>
      <sz val="10"/>
      <color indexed="10"/>
      <name val="宋体"/>
      <family val="3"/>
      <charset val="134"/>
    </font>
    <font>
      <b/>
      <sz val="16"/>
      <name val="微软雅黑"/>
      <family val="2"/>
      <charset val="134"/>
    </font>
    <font>
      <sz val="10"/>
      <color indexed="10"/>
      <name val="Times New Roman"/>
      <family val="1"/>
    </font>
    <font>
      <i/>
      <sz val="10"/>
      <name val="宋体"/>
      <family val="3"/>
      <charset val="134"/>
    </font>
    <font>
      <b/>
      <sz val="16"/>
      <color rgb="FFFF0000"/>
      <name val="微软雅黑"/>
      <family val="2"/>
      <charset val="134"/>
    </font>
  </fonts>
  <fills count="20">
    <fill>
      <patternFill patternType="none"/>
    </fill>
    <fill>
      <patternFill patternType="gray125"/>
    </fill>
    <fill>
      <patternFill patternType="solid">
        <fgColor indexed="8"/>
        <bgColor indexed="64"/>
      </patternFill>
    </fill>
    <fill>
      <patternFill patternType="solid">
        <fgColor indexed="22"/>
        <bgColor indexed="64"/>
      </patternFill>
    </fill>
    <fill>
      <patternFill patternType="solid">
        <fgColor indexed="55"/>
        <bgColor indexed="64"/>
      </patternFill>
    </fill>
    <fill>
      <patternFill patternType="solid">
        <fgColor indexed="9"/>
        <bgColor indexed="64"/>
      </patternFill>
    </fill>
    <fill>
      <patternFill patternType="solid">
        <fgColor indexed="43"/>
        <bgColor indexed="64"/>
      </patternFill>
    </fill>
    <fill>
      <patternFill patternType="solid">
        <fgColor indexed="44"/>
        <bgColor indexed="64"/>
      </patternFill>
    </fill>
    <fill>
      <patternFill patternType="solid">
        <fgColor indexed="13"/>
        <bgColor indexed="64"/>
      </patternFill>
    </fill>
    <fill>
      <patternFill patternType="solid">
        <fgColor indexed="40"/>
        <bgColor indexed="64"/>
      </patternFill>
    </fill>
    <fill>
      <patternFill patternType="solid">
        <fgColor indexed="50"/>
        <bgColor indexed="64"/>
      </patternFill>
    </fill>
    <fill>
      <patternFill patternType="solid">
        <fgColor rgb="FFFFFFCC"/>
        <bgColor indexed="64"/>
      </patternFill>
    </fill>
    <fill>
      <patternFill patternType="solid">
        <fgColor theme="9" tint="0.79998168889431442"/>
        <bgColor indexed="64"/>
      </patternFill>
    </fill>
    <fill>
      <patternFill patternType="solid">
        <fgColor rgb="FF92D050"/>
        <bgColor indexed="64"/>
      </patternFill>
    </fill>
    <fill>
      <patternFill patternType="solid">
        <fgColor theme="0" tint="-0.14999847407452621"/>
        <bgColor indexed="64"/>
      </patternFill>
    </fill>
    <fill>
      <patternFill patternType="solid">
        <fgColor rgb="FFFFFF00"/>
        <bgColor indexed="64"/>
      </patternFill>
    </fill>
    <fill>
      <patternFill patternType="solid">
        <fgColor rgb="FFFFC000"/>
        <bgColor indexed="64"/>
      </patternFill>
    </fill>
    <fill>
      <patternFill patternType="solid">
        <fgColor theme="0" tint="-4.9989318521683403E-2"/>
        <bgColor indexed="64"/>
      </patternFill>
    </fill>
    <fill>
      <patternFill patternType="solid">
        <fgColor rgb="FFFF0000"/>
        <bgColor indexed="64"/>
      </patternFill>
    </fill>
    <fill>
      <patternFill patternType="solid">
        <fgColor theme="6" tint="0.79998168889431442"/>
        <bgColor indexed="64"/>
      </patternFill>
    </fill>
  </fills>
  <borders count="63">
    <border>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top style="thin">
        <color indexed="64"/>
      </top>
      <bottom/>
      <diagonal/>
    </border>
    <border>
      <left style="hair">
        <color indexed="64"/>
      </left>
      <right style="hair">
        <color indexed="64"/>
      </right>
      <top style="hair">
        <color indexed="64"/>
      </top>
      <bottom style="hair">
        <color indexed="64"/>
      </bottom>
      <diagonal/>
    </border>
    <border>
      <left style="thin">
        <color indexed="64"/>
      </left>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style="thin">
        <color indexed="64"/>
      </left>
      <right/>
      <top style="thin">
        <color indexed="64"/>
      </top>
      <bottom/>
      <diagonal/>
    </border>
    <border>
      <left/>
      <right/>
      <top/>
      <bottom style="thin">
        <color indexed="64"/>
      </bottom>
      <diagonal/>
    </border>
    <border>
      <left/>
      <right style="thin">
        <color indexed="64"/>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style="medium">
        <color indexed="64"/>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right/>
      <top style="medium">
        <color indexed="64"/>
      </top>
      <bottom style="thin">
        <color indexed="64"/>
      </bottom>
      <diagonal/>
    </border>
    <border>
      <left style="medium">
        <color indexed="64"/>
      </left>
      <right/>
      <top/>
      <bottom style="thin">
        <color indexed="64"/>
      </bottom>
      <diagonal/>
    </border>
    <border>
      <left style="medium">
        <color indexed="64"/>
      </left>
      <right/>
      <top style="double">
        <color indexed="61"/>
      </top>
      <bottom style="thin">
        <color indexed="64"/>
      </bottom>
      <diagonal/>
    </border>
    <border>
      <left/>
      <right/>
      <top style="double">
        <color indexed="61"/>
      </top>
      <bottom style="thin">
        <color indexed="64"/>
      </bottom>
      <diagonal/>
    </border>
    <border>
      <left/>
      <right style="medium">
        <color indexed="64"/>
      </right>
      <top style="double">
        <color indexed="61"/>
      </top>
      <bottom style="thin">
        <color indexed="64"/>
      </bottom>
      <diagonal/>
    </border>
    <border>
      <left/>
      <right/>
      <top/>
      <bottom style="double">
        <color indexed="61"/>
      </bottom>
      <diagonal/>
    </border>
    <border>
      <left/>
      <right style="medium">
        <color indexed="64"/>
      </right>
      <top/>
      <bottom style="double">
        <color indexed="61"/>
      </bottom>
      <diagonal/>
    </border>
    <border>
      <left style="medium">
        <color indexed="64"/>
      </left>
      <right/>
      <top style="thin">
        <color indexed="64"/>
      </top>
      <bottom/>
      <diagonal/>
    </border>
    <border>
      <left style="medium">
        <color indexed="64"/>
      </left>
      <right/>
      <top/>
      <bottom style="double">
        <color indexed="61"/>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style="medium">
        <color indexed="64"/>
      </left>
      <right/>
      <top/>
      <bottom/>
      <diagonal/>
    </border>
  </borders>
  <cellStyleXfs count="5">
    <xf numFmtId="0" fontId="0" fillId="0" borderId="0"/>
    <xf numFmtId="9" fontId="1" fillId="0" borderId="0" applyFont="0" applyFill="0" applyBorder="0" applyAlignment="0" applyProtection="0"/>
    <xf numFmtId="0" fontId="9" fillId="0" borderId="0"/>
    <xf numFmtId="0" fontId="15" fillId="0" borderId="0">
      <alignment vertical="center"/>
    </xf>
    <xf numFmtId="43" fontId="1" fillId="0" borderId="0" applyFont="0" applyFill="0" applyBorder="0" applyAlignment="0" applyProtection="0"/>
  </cellStyleXfs>
  <cellXfs count="678">
    <xf numFmtId="0" fontId="0" fillId="0" borderId="0" xfId="0"/>
    <xf numFmtId="0" fontId="2" fillId="0" borderId="0" xfId="0" applyFont="1" applyAlignment="1">
      <alignment horizontal="left" vertical="center" wrapText="1"/>
    </xf>
    <xf numFmtId="0" fontId="2" fillId="0" borderId="0" xfId="0" applyFont="1" applyAlignment="1">
      <alignment horizontal="center" vertical="center" wrapText="1"/>
    </xf>
    <xf numFmtId="0" fontId="2" fillId="0" borderId="0" xfId="0" applyFont="1" applyFill="1" applyBorder="1" applyAlignment="1">
      <alignment horizontal="right" vertical="center" wrapText="1"/>
    </xf>
    <xf numFmtId="0" fontId="2" fillId="0" borderId="0" xfId="0" applyFont="1" applyFill="1" applyAlignment="1">
      <alignment horizontal="left" vertical="center" wrapText="1"/>
    </xf>
    <xf numFmtId="0" fontId="2" fillId="0" borderId="0" xfId="0" applyFont="1" applyFill="1" applyAlignment="1">
      <alignment horizontal="right" vertical="center" wrapText="1"/>
    </xf>
    <xf numFmtId="0" fontId="2" fillId="2" borderId="0" xfId="0" applyFont="1" applyFill="1" applyAlignment="1">
      <alignment horizontal="center" vertical="center" wrapText="1"/>
    </xf>
    <xf numFmtId="0" fontId="2" fillId="0" borderId="0" xfId="0" applyFont="1" applyFill="1" applyAlignment="1">
      <alignment horizontal="center" vertical="center" wrapText="1"/>
    </xf>
    <xf numFmtId="0" fontId="2" fillId="0" borderId="0" xfId="0" applyFont="1" applyFill="1" applyBorder="1" applyAlignment="1">
      <alignment horizontal="left" vertical="center" wrapText="1"/>
    </xf>
    <xf numFmtId="176" fontId="4" fillId="0" borderId="0" xfId="0" applyNumberFormat="1" applyFont="1"/>
    <xf numFmtId="176" fontId="4" fillId="0" borderId="0" xfId="0" applyNumberFormat="1" applyFont="1" applyAlignment="1">
      <alignment wrapText="1"/>
    </xf>
    <xf numFmtId="3" fontId="4" fillId="0" borderId="0" xfId="0" applyNumberFormat="1" applyFont="1" applyAlignment="1"/>
    <xf numFmtId="3" fontId="4" fillId="0" borderId="0" xfId="0" applyNumberFormat="1" applyFont="1"/>
    <xf numFmtId="3" fontId="3" fillId="3" borderId="1" xfId="0" applyNumberFormat="1" applyFont="1" applyFill="1" applyBorder="1" applyAlignment="1" applyProtection="1">
      <alignment horizontal="center" vertical="center"/>
      <protection locked="0"/>
    </xf>
    <xf numFmtId="3" fontId="3" fillId="3" borderId="1" xfId="0" applyNumberFormat="1" applyFont="1" applyFill="1" applyBorder="1" applyAlignment="1" applyProtection="1">
      <alignment vertical="center"/>
      <protection locked="0"/>
    </xf>
    <xf numFmtId="3" fontId="4" fillId="0" borderId="2" xfId="0" applyNumberFormat="1" applyFont="1" applyFill="1" applyBorder="1" applyAlignment="1" applyProtection="1">
      <alignment vertical="center" wrapText="1"/>
      <protection locked="0"/>
    </xf>
    <xf numFmtId="3" fontId="3" fillId="0" borderId="0" xfId="0" applyNumberFormat="1" applyFont="1" applyFill="1" applyBorder="1" applyAlignment="1">
      <alignment vertical="center"/>
    </xf>
    <xf numFmtId="3" fontId="3" fillId="0" borderId="0" xfId="0" applyNumberFormat="1" applyFont="1" applyFill="1" applyBorder="1" applyAlignment="1">
      <alignment horizontal="left" vertical="center"/>
    </xf>
    <xf numFmtId="0" fontId="4" fillId="0" borderId="2" xfId="0" applyFont="1" applyFill="1" applyBorder="1" applyAlignment="1">
      <alignment horizontal="left" vertical="center" wrapText="1"/>
    </xf>
    <xf numFmtId="179" fontId="4" fillId="0" borderId="2" xfId="0" applyNumberFormat="1" applyFont="1" applyBorder="1"/>
    <xf numFmtId="3" fontId="8" fillId="0" borderId="0" xfId="0" applyNumberFormat="1" applyFont="1" applyFill="1" applyBorder="1" applyAlignment="1">
      <alignment horizontal="left" vertical="center" wrapText="1"/>
    </xf>
    <xf numFmtId="14" fontId="4" fillId="0" borderId="2" xfId="0" applyNumberFormat="1" applyFont="1" applyFill="1" applyBorder="1" applyAlignment="1">
      <alignment horizontal="left" vertical="center" wrapText="1"/>
    </xf>
    <xf numFmtId="179" fontId="4" fillId="0" borderId="2" xfId="0" applyNumberFormat="1" applyFont="1" applyFill="1" applyBorder="1" applyAlignment="1">
      <alignment horizontal="left" vertical="center"/>
    </xf>
    <xf numFmtId="3" fontId="4" fillId="0" borderId="2" xfId="0" applyNumberFormat="1" applyFont="1" applyFill="1" applyBorder="1" applyAlignment="1">
      <alignment horizontal="left" vertical="center"/>
    </xf>
    <xf numFmtId="179" fontId="4" fillId="0" borderId="2" xfId="0" applyNumberFormat="1" applyFont="1" applyBorder="1" applyAlignment="1">
      <alignment horizontal="right" vertical="center" wrapText="1"/>
    </xf>
    <xf numFmtId="0" fontId="2" fillId="0" borderId="0" xfId="0" applyFont="1" applyAlignment="1">
      <alignment horizontal="right" vertical="center" wrapText="1"/>
    </xf>
    <xf numFmtId="177" fontId="4" fillId="0" borderId="2" xfId="0" applyNumberFormat="1" applyFont="1" applyFill="1" applyBorder="1" applyAlignment="1">
      <alignment horizontal="left"/>
    </xf>
    <xf numFmtId="176" fontId="4" fillId="0" borderId="0" xfId="0" applyNumberFormat="1" applyFont="1" applyAlignment="1">
      <alignment horizontal="right"/>
    </xf>
    <xf numFmtId="182" fontId="4" fillId="0" borderId="0" xfId="0" applyNumberFormat="1" applyFont="1" applyFill="1"/>
    <xf numFmtId="179" fontId="4" fillId="0" borderId="2" xfId="0" applyNumberFormat="1" applyFont="1" applyFill="1" applyBorder="1" applyAlignment="1">
      <alignment horizontal="center" vertical="center"/>
    </xf>
    <xf numFmtId="0" fontId="3" fillId="0" borderId="2" xfId="0" applyFont="1" applyBorder="1" applyAlignment="1">
      <alignment horizontal="left" vertical="center" wrapText="1"/>
    </xf>
    <xf numFmtId="179" fontId="4" fillId="0" borderId="2" xfId="0" applyNumberFormat="1" applyFont="1" applyFill="1" applyBorder="1" applyAlignment="1">
      <alignment horizontal="center" vertical="center" wrapText="1"/>
    </xf>
    <xf numFmtId="10" fontId="4" fillId="0" borderId="2" xfId="0" applyNumberFormat="1" applyFont="1" applyFill="1" applyBorder="1" applyAlignment="1">
      <alignment horizontal="center" vertical="center" wrapText="1"/>
    </xf>
    <xf numFmtId="179" fontId="4" fillId="0" borderId="2" xfId="0" applyNumberFormat="1" applyFont="1" applyFill="1" applyBorder="1" applyAlignment="1" applyProtection="1">
      <alignment horizontal="center" vertical="center"/>
    </xf>
    <xf numFmtId="10" fontId="4" fillId="0" borderId="2" xfId="0" applyNumberFormat="1" applyFont="1" applyFill="1" applyBorder="1" applyAlignment="1" applyProtection="1">
      <alignment horizontal="center" vertical="center"/>
      <protection locked="0"/>
    </xf>
    <xf numFmtId="3" fontId="4" fillId="0" borderId="2" xfId="0" applyNumberFormat="1" applyFont="1" applyFill="1" applyBorder="1" applyAlignment="1" applyProtection="1">
      <alignment horizontal="center" vertical="center"/>
    </xf>
    <xf numFmtId="179" fontId="4" fillId="0" borderId="0" xfId="0" applyNumberFormat="1" applyFont="1" applyBorder="1"/>
    <xf numFmtId="14" fontId="4" fillId="0" borderId="0" xfId="0" applyNumberFormat="1" applyFont="1" applyBorder="1"/>
    <xf numFmtId="10" fontId="4" fillId="0" borderId="0" xfId="0" applyNumberFormat="1" applyFont="1" applyBorder="1"/>
    <xf numFmtId="191" fontId="4" fillId="0" borderId="0" xfId="0" applyNumberFormat="1" applyFont="1" applyBorder="1"/>
    <xf numFmtId="0" fontId="4" fillId="0" borderId="0" xfId="0" applyFont="1"/>
    <xf numFmtId="10" fontId="4" fillId="0" borderId="0" xfId="0" applyNumberFormat="1" applyFont="1"/>
    <xf numFmtId="0" fontId="0" fillId="0" borderId="0" xfId="0" applyFont="1" applyFill="1" applyAlignment="1" applyProtection="1">
      <alignment horizontal="center"/>
      <protection hidden="1"/>
    </xf>
    <xf numFmtId="0" fontId="0" fillId="0" borderId="0" xfId="0" applyFont="1" applyFill="1" applyProtection="1">
      <protection hidden="1"/>
    </xf>
    <xf numFmtId="0" fontId="4" fillId="0" borderId="0" xfId="0" applyFont="1" applyFill="1" applyAlignment="1" applyProtection="1">
      <alignment horizontal="center"/>
      <protection hidden="1"/>
    </xf>
    <xf numFmtId="0" fontId="4" fillId="0" borderId="0" xfId="0" applyFont="1" applyFill="1" applyProtection="1">
      <protection hidden="1"/>
    </xf>
    <xf numFmtId="0" fontId="4" fillId="0" borderId="0" xfId="0" applyFont="1" applyProtection="1">
      <protection hidden="1"/>
    </xf>
    <xf numFmtId="4" fontId="6" fillId="0" borderId="0" xfId="0" applyNumberFormat="1" applyFont="1" applyFill="1" applyBorder="1" applyAlignment="1" applyProtection="1">
      <alignment horizontal="center"/>
      <protection hidden="1"/>
    </xf>
    <xf numFmtId="4" fontId="17" fillId="0" borderId="0" xfId="0" applyNumberFormat="1" applyFont="1" applyFill="1" applyBorder="1" applyAlignment="1" applyProtection="1">
      <alignment horizontal="right"/>
      <protection hidden="1"/>
    </xf>
    <xf numFmtId="4" fontId="4" fillId="0" borderId="0" xfId="0" applyNumberFormat="1" applyFont="1" applyFill="1" applyBorder="1" applyAlignment="1" applyProtection="1">
      <alignment horizontal="center"/>
      <protection hidden="1"/>
    </xf>
    <xf numFmtId="10" fontId="17" fillId="6" borderId="0" xfId="1" applyNumberFormat="1" applyFont="1" applyFill="1" applyBorder="1" applyAlignment="1" applyProtection="1">
      <alignment horizontal="right"/>
      <protection hidden="1"/>
    </xf>
    <xf numFmtId="0" fontId="6" fillId="0" borderId="0" xfId="0" applyFont="1" applyAlignment="1" applyProtection="1">
      <alignment horizontal="center"/>
      <protection hidden="1"/>
    </xf>
    <xf numFmtId="14" fontId="4" fillId="0" borderId="0" xfId="0" applyNumberFormat="1" applyFont="1" applyAlignment="1" applyProtection="1">
      <alignment horizontal="center"/>
      <protection hidden="1"/>
    </xf>
    <xf numFmtId="0" fontId="6" fillId="0" borderId="0" xfId="0" applyFont="1" applyFill="1" applyAlignment="1" applyProtection="1">
      <alignment horizontal="center"/>
      <protection hidden="1"/>
    </xf>
    <xf numFmtId="4" fontId="6" fillId="0" borderId="0" xfId="0" applyNumberFormat="1" applyFont="1" applyBorder="1" applyAlignment="1" applyProtection="1">
      <alignment horizontal="center"/>
      <protection hidden="1"/>
    </xf>
    <xf numFmtId="10" fontId="4" fillId="0" borderId="0" xfId="0" applyNumberFormat="1" applyFont="1" applyFill="1" applyBorder="1" applyAlignment="1" applyProtection="1">
      <alignment horizontal="center"/>
      <protection hidden="1"/>
    </xf>
    <xf numFmtId="10" fontId="4" fillId="0" borderId="0" xfId="0" applyNumberFormat="1" applyFont="1" applyFill="1" applyBorder="1" applyAlignment="1" applyProtection="1">
      <alignment horizontal="right"/>
      <protection hidden="1"/>
    </xf>
    <xf numFmtId="14" fontId="4" fillId="0" borderId="0" xfId="0" applyNumberFormat="1" applyFont="1" applyProtection="1">
      <protection hidden="1"/>
    </xf>
    <xf numFmtId="0" fontId="4" fillId="0" borderId="0" xfId="0" applyFont="1" applyAlignment="1" applyProtection="1">
      <alignment horizontal="center"/>
      <protection hidden="1"/>
    </xf>
    <xf numFmtId="0" fontId="6" fillId="0" borderId="0" xfId="0" applyFont="1" applyFill="1" applyProtection="1">
      <protection hidden="1"/>
    </xf>
    <xf numFmtId="0" fontId="6" fillId="0" borderId="0" xfId="0" applyFont="1" applyProtection="1">
      <protection hidden="1"/>
    </xf>
    <xf numFmtId="0" fontId="0" fillId="0" borderId="0" xfId="0" applyProtection="1">
      <protection hidden="1"/>
    </xf>
    <xf numFmtId="4" fontId="6" fillId="0" borderId="0" xfId="0" applyNumberFormat="1" applyFont="1" applyBorder="1" applyAlignment="1" applyProtection="1">
      <alignment horizontal="right"/>
      <protection hidden="1"/>
    </xf>
    <xf numFmtId="4" fontId="5" fillId="0" borderId="0" xfId="0" applyNumberFormat="1" applyFont="1" applyFill="1" applyBorder="1" applyAlignment="1" applyProtection="1">
      <alignment horizontal="center"/>
      <protection hidden="1"/>
    </xf>
    <xf numFmtId="14" fontId="18" fillId="0" borderId="2" xfId="0" applyNumberFormat="1" applyFont="1" applyFill="1" applyBorder="1" applyAlignment="1" applyProtection="1">
      <alignment horizontal="center"/>
      <protection hidden="1"/>
    </xf>
    <xf numFmtId="4" fontId="6" fillId="0" borderId="2" xfId="0" applyNumberFormat="1" applyFont="1" applyBorder="1" applyAlignment="1" applyProtection="1">
      <alignment horizontal="right"/>
      <protection hidden="1"/>
    </xf>
    <xf numFmtId="4" fontId="5" fillId="0" borderId="2" xfId="0" applyNumberFormat="1" applyFont="1" applyFill="1" applyBorder="1" applyAlignment="1" applyProtection="1">
      <alignment horizontal="center"/>
      <protection hidden="1"/>
    </xf>
    <xf numFmtId="4" fontId="6" fillId="0" borderId="2" xfId="0" applyNumberFormat="1" applyFont="1" applyFill="1" applyBorder="1" applyAlignment="1" applyProtection="1">
      <alignment horizontal="right"/>
      <protection hidden="1"/>
    </xf>
    <xf numFmtId="0" fontId="4" fillId="0" borderId="2" xfId="0" applyFont="1" applyFill="1" applyBorder="1" applyAlignment="1" applyProtection="1">
      <alignment horizontal="center"/>
      <protection hidden="1"/>
    </xf>
    <xf numFmtId="4" fontId="6" fillId="10" borderId="2" xfId="0" applyNumberFormat="1" applyFont="1" applyFill="1" applyBorder="1" applyAlignment="1" applyProtection="1">
      <alignment horizontal="right"/>
      <protection hidden="1"/>
    </xf>
    <xf numFmtId="4" fontId="6" fillId="10" borderId="2" xfId="0" applyNumberFormat="1" applyFont="1" applyFill="1" applyBorder="1" applyAlignment="1" applyProtection="1">
      <alignment horizontal="center"/>
      <protection hidden="1"/>
    </xf>
    <xf numFmtId="4" fontId="6" fillId="8" borderId="2" xfId="0" applyNumberFormat="1" applyFont="1" applyFill="1" applyBorder="1" applyAlignment="1" applyProtection="1">
      <alignment horizontal="right"/>
      <protection hidden="1"/>
    </xf>
    <xf numFmtId="4" fontId="6" fillId="0" borderId="2" xfId="0" applyNumberFormat="1" applyFont="1" applyFill="1" applyBorder="1" applyAlignment="1" applyProtection="1">
      <alignment horizontal="center"/>
      <protection hidden="1"/>
    </xf>
    <xf numFmtId="4" fontId="6" fillId="0" borderId="0" xfId="0" applyNumberFormat="1" applyFont="1" applyFill="1" applyBorder="1" applyAlignment="1" applyProtection="1">
      <alignment horizontal="right"/>
      <protection hidden="1"/>
    </xf>
    <xf numFmtId="0" fontId="4" fillId="0" borderId="0" xfId="0" applyFont="1" applyAlignment="1">
      <alignment horizontal="left" vertical="center" wrapText="1"/>
    </xf>
    <xf numFmtId="179" fontId="4" fillId="0" borderId="0" xfId="0" applyNumberFormat="1" applyFont="1" applyAlignment="1">
      <alignment horizontal="left" vertical="center" wrapText="1"/>
    </xf>
    <xf numFmtId="0" fontId="4" fillId="0" borderId="0" xfId="0" applyFont="1" applyAlignment="1">
      <alignment horizontal="right" vertical="center" wrapText="1"/>
    </xf>
    <xf numFmtId="3" fontId="3" fillId="7" borderId="2" xfId="0" applyNumberFormat="1" applyFont="1" applyFill="1" applyBorder="1" applyAlignment="1">
      <alignment horizontal="left" vertical="center" wrapText="1"/>
    </xf>
    <xf numFmtId="3" fontId="3" fillId="7" borderId="2" xfId="0" applyNumberFormat="1" applyFont="1" applyFill="1" applyBorder="1" applyAlignment="1">
      <alignment horizontal="center" vertical="center" wrapText="1"/>
    </xf>
    <xf numFmtId="3" fontId="3" fillId="7" borderId="3" xfId="0" applyNumberFormat="1" applyFont="1" applyFill="1" applyBorder="1" applyAlignment="1">
      <alignment horizontal="center" vertical="center" wrapText="1"/>
    </xf>
    <xf numFmtId="3" fontId="3" fillId="7" borderId="27" xfId="0" applyNumberFormat="1" applyFont="1" applyFill="1" applyBorder="1" applyAlignment="1">
      <alignment horizontal="left" vertical="center" wrapText="1"/>
    </xf>
    <xf numFmtId="177" fontId="4" fillId="0" borderId="2" xfId="0" applyNumberFormat="1" applyFont="1" applyBorder="1" applyAlignment="1">
      <alignment horizontal="right" vertical="center" wrapText="1"/>
    </xf>
    <xf numFmtId="177" fontId="4" fillId="0" borderId="3" xfId="0" applyNumberFormat="1" applyFont="1" applyFill="1" applyBorder="1" applyAlignment="1">
      <alignment horizontal="right" vertical="center" wrapText="1"/>
    </xf>
    <xf numFmtId="0" fontId="3" fillId="0" borderId="2" xfId="0" applyFont="1" applyFill="1" applyBorder="1" applyAlignment="1">
      <alignment horizontal="left" vertical="center" wrapText="1"/>
    </xf>
    <xf numFmtId="177" fontId="3" fillId="0" borderId="2" xfId="0" applyNumberFormat="1" applyFont="1" applyBorder="1" applyAlignment="1">
      <alignment horizontal="right" vertical="center" wrapText="1"/>
    </xf>
    <xf numFmtId="0" fontId="6" fillId="0" borderId="2" xfId="0" applyFont="1" applyFill="1" applyBorder="1" applyAlignment="1">
      <alignment horizontal="left" vertical="center" wrapText="1"/>
    </xf>
    <xf numFmtId="179" fontId="3" fillId="0" borderId="2" xfId="0" applyNumberFormat="1" applyFont="1" applyBorder="1" applyAlignment="1">
      <alignment horizontal="right" vertical="center" wrapText="1"/>
    </xf>
    <xf numFmtId="177" fontId="3" fillId="0" borderId="3" xfId="0" applyNumberFormat="1" applyFont="1" applyFill="1" applyBorder="1" applyAlignment="1">
      <alignment horizontal="right" vertical="center" wrapText="1"/>
    </xf>
    <xf numFmtId="4" fontId="4" fillId="0" borderId="0" xfId="0" applyNumberFormat="1" applyFont="1" applyAlignment="1">
      <alignment horizontal="right" vertical="center" wrapText="1"/>
    </xf>
    <xf numFmtId="179" fontId="4" fillId="8" borderId="2" xfId="0" applyNumberFormat="1" applyFont="1" applyFill="1" applyBorder="1" applyAlignment="1">
      <alignment horizontal="right" vertical="center" wrapText="1"/>
    </xf>
    <xf numFmtId="179" fontId="4" fillId="0" borderId="2" xfId="0" applyNumberFormat="1" applyFont="1" applyFill="1" applyBorder="1" applyAlignment="1">
      <alignment horizontal="right" vertical="center" wrapText="1"/>
    </xf>
    <xf numFmtId="177" fontId="4" fillId="6" borderId="3" xfId="0" applyNumberFormat="1" applyFont="1" applyFill="1" applyBorder="1" applyAlignment="1">
      <alignment horizontal="right" vertical="center" wrapText="1"/>
    </xf>
    <xf numFmtId="179" fontId="3" fillId="0" borderId="3" xfId="0" applyNumberFormat="1" applyFont="1" applyBorder="1" applyAlignment="1">
      <alignment horizontal="right" vertical="center" wrapText="1"/>
    </xf>
    <xf numFmtId="177" fontId="3" fillId="8" borderId="2" xfId="0" applyNumberFormat="1" applyFont="1" applyFill="1" applyBorder="1" applyAlignment="1">
      <alignment horizontal="right" vertical="center" wrapText="1"/>
    </xf>
    <xf numFmtId="177" fontId="3" fillId="0" borderId="3" xfId="0" applyNumberFormat="1" applyFont="1" applyBorder="1" applyAlignment="1">
      <alignment horizontal="right" vertical="center" wrapText="1"/>
    </xf>
    <xf numFmtId="177" fontId="4" fillId="8" borderId="2" xfId="0" applyNumberFormat="1" applyFont="1" applyFill="1" applyBorder="1" applyAlignment="1">
      <alignment horizontal="right" vertical="center" wrapText="1"/>
    </xf>
    <xf numFmtId="179" fontId="3" fillId="7" borderId="2" xfId="0" applyNumberFormat="1" applyFont="1" applyFill="1" applyBorder="1" applyAlignment="1">
      <alignment horizontal="right" vertical="center" wrapText="1"/>
    </xf>
    <xf numFmtId="10" fontId="3" fillId="8" borderId="2" xfId="0" applyNumberFormat="1" applyFont="1" applyFill="1" applyBorder="1" applyAlignment="1">
      <alignment horizontal="left" vertical="center" wrapText="1"/>
    </xf>
    <xf numFmtId="179" fontId="3" fillId="7" borderId="3" xfId="0" applyNumberFormat="1" applyFont="1" applyFill="1" applyBorder="1" applyAlignment="1">
      <alignment horizontal="right" vertical="center" wrapText="1"/>
    </xf>
    <xf numFmtId="0" fontId="4" fillId="0" borderId="0" xfId="0" applyFont="1" applyAlignment="1">
      <alignment wrapText="1"/>
    </xf>
    <xf numFmtId="0" fontId="4" fillId="0" borderId="0" xfId="0" applyFont="1" applyAlignment="1">
      <alignment horizontal="right"/>
    </xf>
    <xf numFmtId="190" fontId="3" fillId="8" borderId="31" xfId="0" applyNumberFormat="1" applyFont="1" applyFill="1" applyBorder="1" applyAlignment="1">
      <alignment horizontal="left"/>
    </xf>
    <xf numFmtId="179" fontId="4" fillId="0" borderId="2" xfId="0" applyNumberFormat="1" applyFont="1" applyBorder="1" applyAlignment="1">
      <alignment horizontal="left"/>
    </xf>
    <xf numFmtId="179" fontId="4" fillId="0" borderId="2" xfId="0" applyNumberFormat="1" applyFont="1" applyBorder="1" applyAlignment="1">
      <alignment horizontal="right"/>
    </xf>
    <xf numFmtId="177" fontId="4" fillId="0" borderId="2" xfId="0" applyNumberFormat="1" applyFont="1" applyBorder="1" applyAlignment="1">
      <alignment horizontal="left"/>
    </xf>
    <xf numFmtId="0" fontId="4" fillId="0" borderId="1" xfId="0" applyFont="1" applyBorder="1" applyAlignment="1">
      <alignment horizontal="left" wrapText="1"/>
    </xf>
    <xf numFmtId="177" fontId="4" fillId="0" borderId="2" xfId="0" applyNumberFormat="1" applyFont="1" applyBorder="1" applyAlignment="1">
      <alignment horizontal="right"/>
    </xf>
    <xf numFmtId="179" fontId="6" fillId="0" borderId="2" xfId="0" applyNumberFormat="1" applyFont="1" applyBorder="1" applyAlignment="1">
      <alignment horizontal="left"/>
    </xf>
    <xf numFmtId="179" fontId="4" fillId="0" borderId="2" xfId="0" applyNumberFormat="1" applyFont="1" applyFill="1" applyBorder="1" applyAlignment="1">
      <alignment horizontal="left"/>
    </xf>
    <xf numFmtId="177" fontId="4" fillId="0" borderId="2" xfId="0" applyNumberFormat="1" applyFont="1" applyFill="1" applyBorder="1" applyAlignment="1">
      <alignment horizontal="right"/>
    </xf>
    <xf numFmtId="0" fontId="3" fillId="0" borderId="1" xfId="0" applyFont="1" applyBorder="1" applyAlignment="1">
      <alignment horizontal="left" wrapText="1"/>
    </xf>
    <xf numFmtId="0" fontId="4" fillId="8" borderId="1" xfId="0" applyFont="1" applyFill="1" applyBorder="1" applyAlignment="1">
      <alignment horizontal="left" wrapText="1"/>
    </xf>
    <xf numFmtId="179" fontId="4" fillId="8" borderId="2" xfId="0" applyNumberFormat="1" applyFont="1" applyFill="1" applyBorder="1" applyAlignment="1">
      <alignment horizontal="left"/>
    </xf>
    <xf numFmtId="177" fontId="4" fillId="8" borderId="2" xfId="0" applyNumberFormat="1" applyFont="1" applyFill="1" applyBorder="1" applyAlignment="1">
      <alignment horizontal="left"/>
    </xf>
    <xf numFmtId="177" fontId="4" fillId="8" borderId="2" xfId="0" applyNumberFormat="1" applyFont="1" applyFill="1" applyBorder="1" applyAlignment="1">
      <alignment horizontal="right"/>
    </xf>
    <xf numFmtId="0" fontId="6" fillId="0" borderId="1" xfId="0" applyFont="1" applyBorder="1" applyAlignment="1">
      <alignment horizontal="left" wrapText="1"/>
    </xf>
    <xf numFmtId="0" fontId="4" fillId="0" borderId="8" xfId="0" applyFont="1" applyBorder="1" applyAlignment="1">
      <alignment horizontal="left" wrapText="1"/>
    </xf>
    <xf numFmtId="179" fontId="4" fillId="0" borderId="10" xfId="0" applyNumberFormat="1" applyFont="1" applyBorder="1" applyAlignment="1">
      <alignment horizontal="left"/>
    </xf>
    <xf numFmtId="177" fontId="4" fillId="0" borderId="10" xfId="0" applyNumberFormat="1" applyFont="1" applyBorder="1" applyAlignment="1">
      <alignment horizontal="left"/>
    </xf>
    <xf numFmtId="177" fontId="4" fillId="0" borderId="10" xfId="0" applyNumberFormat="1" applyFont="1" applyBorder="1" applyAlignment="1">
      <alignment horizontal="right"/>
    </xf>
    <xf numFmtId="0" fontId="3" fillId="0" borderId="0" xfId="0" applyFont="1"/>
    <xf numFmtId="0" fontId="3" fillId="0" borderId="0" xfId="0" applyFont="1" applyAlignment="1">
      <alignment horizontal="left" vertical="center" wrapText="1"/>
    </xf>
    <xf numFmtId="0" fontId="4" fillId="0" borderId="2" xfId="0" applyFont="1" applyBorder="1"/>
    <xf numFmtId="0" fontId="4" fillId="0" borderId="2" xfId="0" applyFont="1" applyFill="1" applyBorder="1" applyAlignment="1">
      <alignment vertical="center" wrapText="1"/>
    </xf>
    <xf numFmtId="179" fontId="2" fillId="8" borderId="0" xfId="0" applyNumberFormat="1" applyFont="1" applyFill="1" applyAlignment="1">
      <alignment horizontal="center" vertical="center" wrapText="1"/>
    </xf>
    <xf numFmtId="10" fontId="2" fillId="8" borderId="0" xfId="0" applyNumberFormat="1" applyFont="1" applyFill="1" applyAlignment="1">
      <alignment horizontal="center" vertical="center" wrapText="1"/>
    </xf>
    <xf numFmtId="3" fontId="3" fillId="0" borderId="2" xfId="0" applyNumberFormat="1" applyFont="1" applyFill="1" applyBorder="1" applyAlignment="1" applyProtection="1">
      <alignment horizontal="center" vertical="center" wrapText="1"/>
      <protection locked="0"/>
    </xf>
    <xf numFmtId="3" fontId="19" fillId="0" borderId="2" xfId="0" applyNumberFormat="1" applyFont="1" applyFill="1" applyBorder="1" applyAlignment="1" applyProtection="1">
      <alignment horizontal="center" vertical="center" wrapText="1"/>
      <protection locked="0"/>
    </xf>
    <xf numFmtId="3" fontId="3" fillId="0" borderId="2" xfId="0" applyNumberFormat="1" applyFont="1" applyFill="1" applyBorder="1" applyAlignment="1" applyProtection="1">
      <alignment vertical="center" wrapText="1"/>
      <protection locked="0"/>
    </xf>
    <xf numFmtId="3" fontId="3" fillId="0" borderId="2" xfId="0" applyNumberFormat="1" applyFont="1" applyFill="1" applyBorder="1" applyAlignment="1" applyProtection="1">
      <alignment horizontal="center" vertical="center"/>
      <protection locked="0"/>
    </xf>
    <xf numFmtId="3" fontId="3" fillId="0" borderId="2" xfId="0" applyNumberFormat="1" applyFont="1" applyFill="1" applyBorder="1" applyAlignment="1" applyProtection="1">
      <alignment horizontal="left" vertical="center" wrapText="1"/>
      <protection locked="0"/>
    </xf>
    <xf numFmtId="178" fontId="4" fillId="0" borderId="2" xfId="0" applyNumberFormat="1" applyFont="1" applyFill="1" applyBorder="1" applyAlignment="1" applyProtection="1">
      <alignment horizontal="left" vertical="center" wrapText="1"/>
      <protection locked="0"/>
    </xf>
    <xf numFmtId="0" fontId="3" fillId="0" borderId="2" xfId="0" applyFont="1" applyFill="1" applyBorder="1" applyAlignment="1" applyProtection="1">
      <alignment horizontal="left" vertical="center" wrapText="1"/>
      <protection locked="0"/>
    </xf>
    <xf numFmtId="0" fontId="4" fillId="0" borderId="2" xfId="0" applyFont="1" applyFill="1" applyBorder="1" applyAlignment="1" applyProtection="1">
      <alignment horizontal="left" vertical="center" wrapText="1"/>
      <protection locked="0"/>
    </xf>
    <xf numFmtId="0" fontId="3" fillId="0" borderId="2" xfId="0" applyFont="1" applyFill="1" applyBorder="1" applyAlignment="1">
      <alignment horizontal="left" vertical="center"/>
    </xf>
    <xf numFmtId="0" fontId="3" fillId="0" borderId="2" xfId="0" applyFont="1" applyFill="1" applyBorder="1" applyAlignment="1" applyProtection="1">
      <alignment horizontal="left" vertical="center"/>
      <protection locked="0"/>
    </xf>
    <xf numFmtId="3" fontId="3" fillId="0" borderId="2" xfId="0" applyNumberFormat="1" applyFont="1" applyFill="1" applyBorder="1" applyAlignment="1">
      <alignment horizontal="left" vertical="center"/>
    </xf>
    <xf numFmtId="0" fontId="4" fillId="0" borderId="2" xfId="0" applyFont="1" applyFill="1" applyBorder="1" applyAlignment="1">
      <alignment horizontal="left" vertical="center"/>
    </xf>
    <xf numFmtId="176" fontId="3" fillId="0" borderId="2" xfId="0" applyNumberFormat="1" applyFont="1" applyFill="1" applyBorder="1" applyAlignment="1">
      <alignment horizontal="left" vertical="center" wrapText="1"/>
    </xf>
    <xf numFmtId="176" fontId="4" fillId="0" borderId="2" xfId="0" applyNumberFormat="1" applyFont="1" applyFill="1" applyBorder="1" applyAlignment="1">
      <alignment horizontal="right" vertical="center" wrapText="1"/>
    </xf>
    <xf numFmtId="190" fontId="4" fillId="0" borderId="2" xfId="0" applyNumberFormat="1" applyFont="1" applyFill="1" applyBorder="1" applyAlignment="1">
      <alignment vertical="center" wrapText="1"/>
    </xf>
    <xf numFmtId="176" fontId="4" fillId="0" borderId="2" xfId="0" applyNumberFormat="1" applyFont="1" applyFill="1" applyBorder="1" applyAlignment="1">
      <alignment vertical="center" wrapText="1"/>
    </xf>
    <xf numFmtId="177" fontId="4" fillId="0" borderId="2" xfId="0" applyNumberFormat="1" applyFont="1" applyFill="1" applyBorder="1" applyAlignment="1">
      <alignment vertical="center" wrapText="1"/>
    </xf>
    <xf numFmtId="179" fontId="4" fillId="0" borderId="2" xfId="0" applyNumberFormat="1" applyFont="1" applyFill="1" applyBorder="1" applyAlignment="1">
      <alignment vertical="center" wrapText="1"/>
    </xf>
    <xf numFmtId="57" fontId="4" fillId="0" borderId="2" xfId="0" applyNumberFormat="1" applyFont="1" applyFill="1" applyBorder="1" applyAlignment="1">
      <alignment vertical="center" wrapText="1"/>
    </xf>
    <xf numFmtId="0" fontId="4" fillId="0" borderId="2" xfId="0" applyFont="1" applyFill="1" applyBorder="1"/>
    <xf numFmtId="57" fontId="4" fillId="0" borderId="2" xfId="0" applyNumberFormat="1" applyFont="1" applyFill="1" applyBorder="1"/>
    <xf numFmtId="179" fontId="4" fillId="0" borderId="2" xfId="0" applyNumberFormat="1" applyFont="1" applyFill="1" applyBorder="1"/>
    <xf numFmtId="3" fontId="4" fillId="0" borderId="1" xfId="0" applyNumberFormat="1" applyFont="1" applyFill="1" applyBorder="1" applyAlignment="1">
      <alignment horizontal="left" vertical="center"/>
    </xf>
    <xf numFmtId="3" fontId="4" fillId="0" borderId="1" xfId="0" applyNumberFormat="1" applyFont="1" applyFill="1" applyBorder="1" applyAlignment="1">
      <alignment horizontal="center" vertical="center"/>
    </xf>
    <xf numFmtId="3" fontId="3" fillId="0" borderId="6" xfId="0" applyNumberFormat="1" applyFont="1" applyFill="1" applyBorder="1" applyAlignment="1">
      <alignment horizontal="center" vertical="center"/>
    </xf>
    <xf numFmtId="3" fontId="3" fillId="0" borderId="9" xfId="0" applyNumberFormat="1" applyFont="1" applyFill="1" applyBorder="1" applyAlignment="1">
      <alignment horizontal="left" vertical="center"/>
    </xf>
    <xf numFmtId="3" fontId="3" fillId="0" borderId="2" xfId="0" applyNumberFormat="1" applyFont="1" applyFill="1" applyBorder="1" applyAlignment="1">
      <alignment vertical="center"/>
    </xf>
    <xf numFmtId="3" fontId="3" fillId="0" borderId="11" xfId="0" applyNumberFormat="1" applyFont="1" applyFill="1" applyBorder="1" applyAlignment="1">
      <alignment horizontal="left" vertical="center"/>
    </xf>
    <xf numFmtId="3" fontId="3" fillId="0" borderId="12" xfId="0" applyNumberFormat="1" applyFont="1" applyFill="1" applyBorder="1" applyAlignment="1">
      <alignment horizontal="left" vertical="center" wrapText="1"/>
    </xf>
    <xf numFmtId="0" fontId="4" fillId="0" borderId="0" xfId="0" applyFont="1" applyAlignment="1"/>
    <xf numFmtId="0" fontId="4" fillId="0" borderId="0" xfId="0" applyFont="1" applyBorder="1"/>
    <xf numFmtId="0" fontId="4" fillId="0" borderId="0" xfId="0" applyFont="1" applyBorder="1" applyAlignment="1"/>
    <xf numFmtId="0" fontId="4" fillId="0" borderId="2" xfId="0" applyFont="1" applyBorder="1" applyAlignment="1"/>
    <xf numFmtId="3" fontId="4" fillId="0" borderId="2" xfId="0" applyNumberFormat="1" applyFont="1" applyBorder="1" applyAlignment="1" applyProtection="1">
      <alignment horizontal="left" vertical="center"/>
      <protection locked="0"/>
    </xf>
    <xf numFmtId="9" fontId="20" fillId="0" borderId="2" xfId="0" applyNumberFormat="1" applyFont="1" applyBorder="1" applyAlignment="1" applyProtection="1">
      <alignment horizontal="left" vertical="center"/>
      <protection locked="0"/>
    </xf>
    <xf numFmtId="14" fontId="4" fillId="5" borderId="2" xfId="0" applyNumberFormat="1" applyFont="1" applyFill="1" applyBorder="1" applyAlignment="1">
      <alignment horizontal="center" wrapText="1"/>
    </xf>
    <xf numFmtId="14" fontId="20" fillId="5" borderId="2" xfId="0" applyNumberFormat="1" applyFont="1" applyFill="1" applyBorder="1" applyAlignment="1">
      <alignment horizontal="center" wrapText="1"/>
    </xf>
    <xf numFmtId="3" fontId="4" fillId="0" borderId="0" xfId="0" applyNumberFormat="1" applyFont="1" applyBorder="1" applyAlignment="1">
      <alignment horizontal="center"/>
    </xf>
    <xf numFmtId="0" fontId="10" fillId="0" borderId="0" xfId="0" applyFont="1" applyProtection="1"/>
    <xf numFmtId="0" fontId="0" fillId="0" borderId="0" xfId="0" applyFont="1" applyFill="1" applyProtection="1"/>
    <xf numFmtId="4" fontId="3" fillId="0" borderId="0" xfId="0" applyNumberFormat="1" applyFont="1" applyFill="1" applyBorder="1" applyAlignment="1" applyProtection="1">
      <alignment horizontal="center"/>
    </xf>
    <xf numFmtId="0" fontId="4" fillId="0" borderId="0" xfId="0" applyFont="1" applyProtection="1"/>
    <xf numFmtId="0" fontId="4" fillId="0" borderId="2" xfId="0" applyFont="1" applyBorder="1" applyAlignment="1" applyProtection="1">
      <alignment horizontal="center"/>
    </xf>
    <xf numFmtId="0" fontId="4" fillId="0" borderId="19" xfId="0" applyFont="1" applyBorder="1" applyAlignment="1" applyProtection="1">
      <alignment horizontal="center"/>
    </xf>
    <xf numFmtId="0" fontId="4" fillId="0" borderId="0" xfId="0" applyFont="1" applyAlignment="1" applyProtection="1">
      <alignment horizontal="center"/>
    </xf>
    <xf numFmtId="0" fontId="4" fillId="0" borderId="0" xfId="0" applyFont="1" applyFill="1" applyProtection="1"/>
    <xf numFmtId="43" fontId="16" fillId="0" borderId="0" xfId="4" applyFont="1" applyFill="1" applyBorder="1" applyAlignment="1" applyProtection="1">
      <alignment horizontal="right"/>
    </xf>
    <xf numFmtId="43" fontId="6" fillId="8" borderId="0" xfId="4" applyFont="1" applyFill="1" applyBorder="1" applyProtection="1"/>
    <xf numFmtId="43" fontId="6" fillId="8" borderId="12" xfId="4" applyFont="1" applyFill="1" applyBorder="1" applyProtection="1"/>
    <xf numFmtId="10" fontId="6" fillId="9" borderId="12" xfId="1" applyNumberFormat="1" applyFont="1" applyFill="1" applyBorder="1" applyAlignment="1" applyProtection="1">
      <alignment horizontal="center"/>
    </xf>
    <xf numFmtId="0" fontId="0" fillId="0" borderId="0" xfId="0" applyProtection="1"/>
    <xf numFmtId="43" fontId="6" fillId="8" borderId="25" xfId="4" applyFont="1" applyFill="1" applyBorder="1" applyProtection="1"/>
    <xf numFmtId="10" fontId="6" fillId="9" borderId="25" xfId="1" applyNumberFormat="1" applyFont="1" applyFill="1" applyBorder="1" applyAlignment="1" applyProtection="1">
      <alignment horizontal="center"/>
    </xf>
    <xf numFmtId="43" fontId="6" fillId="8" borderId="4" xfId="4" applyFont="1" applyFill="1" applyBorder="1" applyAlignment="1" applyProtection="1">
      <alignment horizontal="right"/>
    </xf>
    <xf numFmtId="4" fontId="6" fillId="8" borderId="12" xfId="0" applyNumberFormat="1" applyFont="1" applyFill="1" applyBorder="1" applyAlignment="1" applyProtection="1">
      <alignment horizontal="right"/>
    </xf>
    <xf numFmtId="0" fontId="6" fillId="8" borderId="12" xfId="0" applyFont="1" applyFill="1" applyBorder="1" applyAlignment="1" applyProtection="1">
      <alignment horizontal="right"/>
    </xf>
    <xf numFmtId="179" fontId="6" fillId="8" borderId="26" xfId="0" applyNumberFormat="1" applyFont="1" applyFill="1" applyBorder="1" applyAlignment="1" applyProtection="1">
      <alignment horizontal="right"/>
    </xf>
    <xf numFmtId="0" fontId="3" fillId="0" borderId="0" xfId="0" applyFont="1" applyFill="1" applyAlignment="1" applyProtection="1">
      <alignment horizontal="center"/>
    </xf>
    <xf numFmtId="4" fontId="6" fillId="8" borderId="0" xfId="0" applyNumberFormat="1" applyFont="1" applyFill="1" applyBorder="1" applyAlignment="1" applyProtection="1">
      <alignment horizontal="right"/>
    </xf>
    <xf numFmtId="10" fontId="6" fillId="8" borderId="0" xfId="0" applyNumberFormat="1" applyFont="1" applyFill="1" applyBorder="1" applyAlignment="1" applyProtection="1">
      <alignment horizontal="right"/>
    </xf>
    <xf numFmtId="179" fontId="6" fillId="8" borderId="18" xfId="0" applyNumberFormat="1" applyFont="1" applyFill="1" applyBorder="1" applyAlignment="1" applyProtection="1">
      <alignment horizontal="right"/>
    </xf>
    <xf numFmtId="43" fontId="6" fillId="8" borderId="4" xfId="4" applyFont="1" applyFill="1" applyBorder="1" applyProtection="1"/>
    <xf numFmtId="4" fontId="6" fillId="6" borderId="0" xfId="0" applyNumberFormat="1" applyFont="1" applyFill="1" applyBorder="1" applyAlignment="1" applyProtection="1">
      <alignment horizontal="right"/>
    </xf>
    <xf numFmtId="0" fontId="4" fillId="0" borderId="0" xfId="0" applyFont="1" applyFill="1" applyAlignment="1" applyProtection="1">
      <alignment horizontal="center"/>
    </xf>
    <xf numFmtId="0" fontId="6" fillId="0" borderId="0" xfId="0" applyFont="1" applyAlignment="1" applyProtection="1">
      <alignment horizontal="center"/>
    </xf>
    <xf numFmtId="0" fontId="6" fillId="8" borderId="0" xfId="0" applyFont="1" applyFill="1" applyBorder="1" applyAlignment="1" applyProtection="1">
      <alignment horizontal="right"/>
    </xf>
    <xf numFmtId="10" fontId="5" fillId="8" borderId="4" xfId="1" applyNumberFormat="1" applyFont="1" applyFill="1" applyBorder="1" applyAlignment="1" applyProtection="1">
      <alignment horizontal="center"/>
    </xf>
    <xf numFmtId="10" fontId="5" fillId="0" borderId="0" xfId="1" applyNumberFormat="1" applyFont="1" applyFill="1" applyBorder="1" applyAlignment="1" applyProtection="1">
      <alignment horizontal="center"/>
    </xf>
    <xf numFmtId="4" fontId="6" fillId="8" borderId="25" xfId="0" applyNumberFormat="1" applyFont="1" applyFill="1" applyBorder="1" applyAlignment="1" applyProtection="1">
      <alignment horizontal="right"/>
    </xf>
    <xf numFmtId="0" fontId="6" fillId="8" borderId="25" xfId="0" applyFont="1" applyFill="1" applyBorder="1" applyAlignment="1" applyProtection="1">
      <alignment horizontal="right"/>
    </xf>
    <xf numFmtId="179" fontId="6" fillId="8" borderId="10" xfId="0" applyNumberFormat="1" applyFont="1" applyFill="1" applyBorder="1" applyAlignment="1" applyProtection="1">
      <alignment horizontal="right"/>
    </xf>
    <xf numFmtId="10" fontId="5" fillId="8" borderId="17" xfId="1" applyNumberFormat="1" applyFont="1" applyFill="1" applyBorder="1" applyAlignment="1" applyProtection="1">
      <alignment horizontal="center"/>
    </xf>
    <xf numFmtId="0" fontId="3" fillId="0" borderId="17" xfId="0" applyFont="1" applyBorder="1" applyAlignment="1" applyProtection="1">
      <alignment horizontal="center"/>
    </xf>
    <xf numFmtId="0" fontId="5" fillId="0" borderId="17" xfId="0" applyFont="1" applyBorder="1" applyAlignment="1" applyProtection="1">
      <alignment horizontal="center"/>
    </xf>
    <xf numFmtId="0" fontId="3" fillId="0" borderId="0" xfId="0" applyFont="1" applyFill="1" applyBorder="1" applyAlignment="1" applyProtection="1">
      <alignment horizontal="center"/>
    </xf>
    <xf numFmtId="4" fontId="6" fillId="0" borderId="2" xfId="0" applyNumberFormat="1" applyFont="1" applyBorder="1" applyAlignment="1" applyProtection="1">
      <alignment horizontal="right"/>
    </xf>
    <xf numFmtId="4" fontId="6" fillId="0" borderId="0" xfId="0" applyNumberFormat="1" applyFont="1" applyFill="1" applyBorder="1" applyAlignment="1" applyProtection="1">
      <alignment horizontal="right"/>
    </xf>
    <xf numFmtId="0" fontId="6" fillId="0" borderId="2" xfId="0" applyFont="1" applyBorder="1" applyAlignment="1" applyProtection="1">
      <alignment horizontal="center"/>
    </xf>
    <xf numFmtId="10" fontId="6" fillId="0" borderId="2" xfId="0" applyNumberFormat="1" applyFont="1" applyBorder="1" applyAlignment="1" applyProtection="1">
      <alignment horizontal="right"/>
    </xf>
    <xf numFmtId="0" fontId="6" fillId="0" borderId="0" xfId="0" applyFont="1" applyBorder="1" applyAlignment="1" applyProtection="1">
      <alignment horizontal="center"/>
    </xf>
    <xf numFmtId="3" fontId="4" fillId="0" borderId="0" xfId="0" applyNumberFormat="1" applyFont="1" applyFill="1" applyAlignment="1">
      <alignment horizontal="center" vertical="center"/>
    </xf>
    <xf numFmtId="0" fontId="4" fillId="0" borderId="2" xfId="0" applyFont="1" applyBorder="1" applyAlignment="1">
      <alignment horizontal="left"/>
    </xf>
    <xf numFmtId="40" fontId="4" fillId="0" borderId="0" xfId="3" applyNumberFormat="1" applyFont="1" applyFill="1" applyAlignment="1">
      <alignment horizontal="right" vertical="center"/>
    </xf>
    <xf numFmtId="40" fontId="6" fillId="0" borderId="0" xfId="3" applyNumberFormat="1" applyFont="1" applyFill="1" applyAlignment="1">
      <alignment horizontal="right" vertical="center"/>
    </xf>
    <xf numFmtId="179" fontId="6" fillId="0" borderId="0" xfId="3" applyNumberFormat="1" applyFont="1" applyFill="1" applyAlignment="1">
      <alignment horizontal="right" vertical="center"/>
    </xf>
    <xf numFmtId="0" fontId="6" fillId="0" borderId="0" xfId="3" applyFont="1" applyFill="1" applyAlignment="1">
      <alignment horizontal="right" vertical="center"/>
    </xf>
    <xf numFmtId="182" fontId="6" fillId="0" borderId="0" xfId="3" applyNumberFormat="1" applyFont="1" applyFill="1" applyAlignment="1">
      <alignment horizontal="right" vertical="center"/>
    </xf>
    <xf numFmtId="182" fontId="3" fillId="0" borderId="0" xfId="3" applyNumberFormat="1" applyFont="1" applyFill="1" applyAlignment="1">
      <alignment horizontal="right" vertical="center"/>
    </xf>
    <xf numFmtId="0" fontId="4" fillId="0" borderId="0" xfId="0" applyFont="1" applyFill="1"/>
    <xf numFmtId="10" fontId="6" fillId="0" borderId="0" xfId="3" applyNumberFormat="1" applyFont="1" applyFill="1" applyAlignment="1">
      <alignment horizontal="right" vertical="center"/>
    </xf>
    <xf numFmtId="0" fontId="4" fillId="0" borderId="0" xfId="2" applyFont="1" applyFill="1"/>
    <xf numFmtId="0" fontId="4" fillId="0" borderId="0" xfId="3" applyFont="1" applyFill="1" applyAlignment="1">
      <alignment horizontal="right" vertical="center"/>
    </xf>
    <xf numFmtId="9" fontId="6" fillId="0" borderId="0" xfId="3" applyNumberFormat="1" applyFont="1" applyFill="1" applyAlignment="1">
      <alignment horizontal="right" vertical="center"/>
    </xf>
    <xf numFmtId="10" fontId="4" fillId="0" borderId="0" xfId="0" applyNumberFormat="1" applyFont="1" applyFill="1"/>
    <xf numFmtId="10" fontId="6" fillId="0" borderId="0" xfId="3" applyNumberFormat="1" applyFont="1" applyAlignment="1">
      <alignment horizontal="right" vertical="center"/>
    </xf>
    <xf numFmtId="10" fontId="6" fillId="0" borderId="0" xfId="1" applyNumberFormat="1" applyFont="1" applyFill="1" applyAlignment="1">
      <alignment horizontal="right" vertical="center"/>
    </xf>
    <xf numFmtId="184" fontId="5" fillId="0" borderId="0" xfId="3" applyNumberFormat="1" applyFont="1" applyFill="1" applyAlignment="1">
      <alignment horizontal="right" vertical="center"/>
    </xf>
    <xf numFmtId="184" fontId="6" fillId="0" borderId="0" xfId="3" applyNumberFormat="1" applyFont="1" applyFill="1" applyAlignment="1">
      <alignment horizontal="right" vertical="center"/>
    </xf>
    <xf numFmtId="40" fontId="4" fillId="0" borderId="0" xfId="0" applyNumberFormat="1" applyFont="1" applyFill="1"/>
    <xf numFmtId="186" fontId="4" fillId="0" borderId="0" xfId="0" applyNumberFormat="1" applyFont="1" applyFill="1"/>
    <xf numFmtId="40" fontId="6" fillId="0" borderId="2" xfId="3" applyNumberFormat="1" applyFont="1" applyFill="1" applyBorder="1" applyAlignment="1">
      <alignment horizontal="right" vertical="center"/>
    </xf>
    <xf numFmtId="179" fontId="6" fillId="11" borderId="2" xfId="3" applyNumberFormat="1" applyFont="1" applyFill="1" applyBorder="1" applyAlignment="1">
      <alignment horizontal="right" vertical="center"/>
    </xf>
    <xf numFmtId="0" fontId="6" fillId="0" borderId="2" xfId="3" applyFont="1" applyFill="1" applyBorder="1" applyAlignment="1">
      <alignment horizontal="right" vertical="center"/>
    </xf>
    <xf numFmtId="179" fontId="6" fillId="0" borderId="2" xfId="3" applyNumberFormat="1" applyFont="1" applyFill="1" applyBorder="1" applyAlignment="1">
      <alignment horizontal="right" vertical="center"/>
    </xf>
    <xf numFmtId="10" fontId="6" fillId="11" borderId="2" xfId="3" applyNumberFormat="1" applyFont="1" applyFill="1" applyBorder="1" applyAlignment="1">
      <alignment horizontal="right" vertical="center"/>
    </xf>
    <xf numFmtId="183" fontId="6" fillId="0" borderId="2" xfId="3" applyNumberFormat="1" applyFont="1" applyFill="1" applyBorder="1" applyAlignment="1">
      <alignment horizontal="right" vertical="center"/>
    </xf>
    <xf numFmtId="10" fontId="6" fillId="0" borderId="2" xfId="3" applyNumberFormat="1" applyFont="1" applyFill="1" applyBorder="1" applyAlignment="1">
      <alignment horizontal="right" vertical="center"/>
    </xf>
    <xf numFmtId="180" fontId="6" fillId="11" borderId="2" xfId="3" applyNumberFormat="1" applyFont="1" applyFill="1" applyBorder="1" applyAlignment="1">
      <alignment horizontal="right" vertical="center"/>
    </xf>
    <xf numFmtId="40" fontId="4" fillId="0" borderId="2" xfId="3" applyNumberFormat="1" applyFont="1" applyFill="1" applyBorder="1" applyAlignment="1">
      <alignment horizontal="right" vertical="center"/>
    </xf>
    <xf numFmtId="14" fontId="6" fillId="0" borderId="2" xfId="3" applyNumberFormat="1" applyFont="1" applyFill="1" applyBorder="1" applyAlignment="1">
      <alignment horizontal="right" vertical="center"/>
    </xf>
    <xf numFmtId="179" fontId="22" fillId="0" borderId="2" xfId="3" applyNumberFormat="1" applyFont="1" applyFill="1" applyBorder="1" applyAlignment="1">
      <alignment horizontal="right" vertical="center"/>
    </xf>
    <xf numFmtId="0" fontId="6" fillId="0" borderId="2" xfId="3" applyNumberFormat="1" applyFont="1" applyFill="1" applyBorder="1" applyAlignment="1">
      <alignment horizontal="right" vertical="center"/>
    </xf>
    <xf numFmtId="181" fontId="6" fillId="0" borderId="2" xfId="3" applyNumberFormat="1" applyFont="1" applyFill="1" applyBorder="1" applyAlignment="1">
      <alignment horizontal="right" vertical="center"/>
    </xf>
    <xf numFmtId="180" fontId="6" fillId="0" borderId="2" xfId="1" applyNumberFormat="1" applyFont="1" applyFill="1" applyBorder="1" applyAlignment="1">
      <alignment horizontal="right" vertical="center"/>
    </xf>
    <xf numFmtId="10" fontId="4" fillId="0" borderId="2" xfId="0" applyNumberFormat="1" applyFont="1" applyFill="1" applyBorder="1"/>
    <xf numFmtId="40" fontId="5" fillId="0" borderId="2" xfId="3" applyNumberFormat="1" applyFont="1" applyFill="1" applyBorder="1" applyAlignment="1">
      <alignment horizontal="right" vertical="center"/>
    </xf>
    <xf numFmtId="40" fontId="3" fillId="0" borderId="2" xfId="3" applyNumberFormat="1" applyFont="1" applyFill="1" applyBorder="1" applyAlignment="1">
      <alignment horizontal="right" vertical="center"/>
    </xf>
    <xf numFmtId="14" fontId="5" fillId="0" borderId="2" xfId="3" applyNumberFormat="1" applyFont="1" applyFill="1" applyBorder="1" applyAlignment="1">
      <alignment horizontal="right" vertical="center"/>
    </xf>
    <xf numFmtId="0" fontId="5" fillId="0" borderId="2" xfId="3" applyFont="1" applyFill="1" applyBorder="1" applyAlignment="1">
      <alignment horizontal="right" vertical="center"/>
    </xf>
    <xf numFmtId="3" fontId="4" fillId="0" borderId="2" xfId="0" applyNumberFormat="1" applyFont="1" applyFill="1" applyBorder="1" applyAlignment="1">
      <alignment vertical="center"/>
    </xf>
    <xf numFmtId="3" fontId="3" fillId="0" borderId="5" xfId="0" applyNumberFormat="1" applyFont="1" applyFill="1" applyBorder="1" applyAlignment="1">
      <alignment horizontal="left" vertical="center"/>
    </xf>
    <xf numFmtId="3" fontId="3" fillId="12" borderId="6" xfId="0" applyNumberFormat="1" applyFont="1" applyFill="1" applyBorder="1" applyAlignment="1">
      <alignment horizontal="center" vertical="center"/>
    </xf>
    <xf numFmtId="10" fontId="4" fillId="12" borderId="2" xfId="0" applyNumberFormat="1" applyFont="1" applyFill="1" applyBorder="1" applyAlignment="1">
      <alignment horizontal="left" wrapText="1"/>
    </xf>
    <xf numFmtId="10" fontId="4" fillId="12" borderId="6" xfId="0" applyNumberFormat="1" applyFont="1" applyFill="1" applyBorder="1" applyAlignment="1">
      <alignment horizontal="left" wrapText="1"/>
    </xf>
    <xf numFmtId="3" fontId="3" fillId="12" borderId="2" xfId="0" applyNumberFormat="1" applyFont="1" applyFill="1" applyBorder="1" applyAlignment="1">
      <alignment horizontal="justify" vertical="center" wrapText="1"/>
    </xf>
    <xf numFmtId="177" fontId="4" fillId="12" borderId="2" xfId="0" applyNumberFormat="1" applyFont="1" applyFill="1" applyBorder="1" applyAlignment="1">
      <alignment horizontal="left"/>
    </xf>
    <xf numFmtId="177" fontId="4" fillId="12" borderId="6" xfId="0" applyNumberFormat="1" applyFont="1" applyFill="1" applyBorder="1" applyAlignment="1">
      <alignment horizontal="left"/>
    </xf>
    <xf numFmtId="3" fontId="4" fillId="12" borderId="2" xfId="0" applyNumberFormat="1" applyFont="1" applyFill="1" applyBorder="1" applyAlignment="1">
      <alignment horizontal="left"/>
    </xf>
    <xf numFmtId="176" fontId="4" fillId="12" borderId="2" xfId="0" applyNumberFormat="1" applyFont="1" applyFill="1" applyBorder="1" applyAlignment="1">
      <alignment horizontal="left" vertical="center" wrapText="1"/>
    </xf>
    <xf numFmtId="176" fontId="4" fillId="12" borderId="3" xfId="0" applyNumberFormat="1" applyFont="1" applyFill="1" applyBorder="1" applyAlignment="1">
      <alignment horizontal="left" vertical="center" wrapText="1"/>
    </xf>
    <xf numFmtId="176" fontId="4" fillId="12" borderId="6" xfId="0" applyNumberFormat="1" applyFont="1" applyFill="1" applyBorder="1" applyAlignment="1">
      <alignment horizontal="left" vertical="center" wrapText="1"/>
    </xf>
    <xf numFmtId="3" fontId="4" fillId="12" borderId="2" xfId="0" applyNumberFormat="1" applyFont="1" applyFill="1" applyBorder="1" applyAlignment="1">
      <alignment horizontal="left" vertical="center"/>
    </xf>
    <xf numFmtId="179" fontId="4" fillId="12" borderId="2" xfId="0" applyNumberFormat="1" applyFont="1" applyFill="1" applyBorder="1" applyAlignment="1">
      <alignment horizontal="left" vertical="center" wrapText="1"/>
    </xf>
    <xf numFmtId="179" fontId="4" fillId="12" borderId="3" xfId="0" applyNumberFormat="1" applyFont="1" applyFill="1" applyBorder="1" applyAlignment="1">
      <alignment horizontal="left" vertical="center" wrapText="1"/>
    </xf>
    <xf numFmtId="179" fontId="4" fillId="12" borderId="6" xfId="0" applyNumberFormat="1" applyFont="1" applyFill="1" applyBorder="1" applyAlignment="1">
      <alignment horizontal="left" vertical="center" wrapText="1"/>
    </xf>
    <xf numFmtId="3" fontId="3" fillId="12" borderId="2" xfId="0" applyNumberFormat="1" applyFont="1" applyFill="1" applyBorder="1" applyAlignment="1">
      <alignment horizontal="left" vertical="center" wrapText="1"/>
    </xf>
    <xf numFmtId="179" fontId="4" fillId="12" borderId="20" xfId="0" applyNumberFormat="1" applyFont="1" applyFill="1" applyBorder="1" applyAlignment="1">
      <alignment horizontal="left"/>
    </xf>
    <xf numFmtId="179" fontId="4" fillId="12" borderId="20" xfId="0" applyNumberFormat="1" applyFont="1" applyFill="1" applyBorder="1" applyAlignment="1">
      <alignment horizontal="left" vertical="center" wrapText="1"/>
    </xf>
    <xf numFmtId="179" fontId="4" fillId="12" borderId="22" xfId="0" applyNumberFormat="1" applyFont="1" applyFill="1" applyBorder="1" applyAlignment="1">
      <alignment horizontal="left" vertical="center" wrapText="1"/>
    </xf>
    <xf numFmtId="3" fontId="4" fillId="0" borderId="2" xfId="0" applyNumberFormat="1" applyFont="1" applyFill="1" applyBorder="1" applyAlignment="1">
      <alignment horizontal="center" vertical="center"/>
    </xf>
    <xf numFmtId="10" fontId="4" fillId="0" borderId="2" xfId="0" applyNumberFormat="1" applyFont="1" applyFill="1" applyBorder="1" applyAlignment="1">
      <alignment horizontal="center" vertical="center"/>
    </xf>
    <xf numFmtId="176" fontId="4" fillId="0" borderId="2" xfId="0" applyNumberFormat="1" applyFont="1" applyFill="1" applyBorder="1" applyAlignment="1">
      <alignment horizontal="left" vertical="center" wrapText="1"/>
    </xf>
    <xf numFmtId="3" fontId="3" fillId="0" borderId="2" xfId="0" applyNumberFormat="1" applyFont="1" applyFill="1" applyBorder="1" applyAlignment="1">
      <alignment horizontal="center" vertical="center"/>
    </xf>
    <xf numFmtId="3" fontId="3" fillId="0" borderId="2" xfId="0" applyNumberFormat="1" applyFont="1" applyFill="1" applyBorder="1" applyAlignment="1">
      <alignment horizontal="center" vertical="center" wrapText="1"/>
    </xf>
    <xf numFmtId="3" fontId="3" fillId="0" borderId="2" xfId="0" applyNumberFormat="1" applyFont="1" applyFill="1" applyBorder="1" applyAlignment="1">
      <alignment vertical="center" wrapText="1"/>
    </xf>
    <xf numFmtId="3" fontId="4" fillId="0" borderId="2" xfId="0" applyNumberFormat="1" applyFont="1" applyFill="1" applyBorder="1" applyAlignment="1">
      <alignment horizontal="center" vertical="center" wrapText="1"/>
    </xf>
    <xf numFmtId="3" fontId="3" fillId="12" borderId="1" xfId="0" applyNumberFormat="1" applyFont="1" applyFill="1" applyBorder="1" applyAlignment="1">
      <alignment horizontal="center" vertical="center" wrapText="1"/>
    </xf>
    <xf numFmtId="3" fontId="3" fillId="12" borderId="2" xfId="0" applyNumberFormat="1" applyFont="1" applyFill="1" applyBorder="1" applyAlignment="1">
      <alignment horizontal="center" vertical="center"/>
    </xf>
    <xf numFmtId="3" fontId="3" fillId="0" borderId="1" xfId="0" applyNumberFormat="1" applyFont="1" applyFill="1" applyBorder="1" applyAlignment="1">
      <alignment horizontal="center" vertical="center"/>
    </xf>
    <xf numFmtId="0" fontId="4" fillId="0" borderId="2" xfId="0" applyFont="1" applyFill="1" applyBorder="1" applyAlignment="1">
      <alignment horizontal="left" vertical="center" wrapText="1"/>
    </xf>
    <xf numFmtId="3" fontId="3" fillId="0" borderId="9" xfId="0" applyNumberFormat="1" applyFont="1" applyFill="1" applyBorder="1" applyAlignment="1">
      <alignment horizontal="center" vertical="center"/>
    </xf>
    <xf numFmtId="3" fontId="4" fillId="0" borderId="1" xfId="0" applyNumberFormat="1" applyFont="1" applyFill="1" applyBorder="1" applyAlignment="1">
      <alignment horizontal="left" vertical="center" wrapText="1"/>
    </xf>
    <xf numFmtId="3" fontId="4" fillId="0" borderId="2" xfId="0" applyNumberFormat="1" applyFont="1" applyFill="1" applyBorder="1" applyAlignment="1">
      <alignment horizontal="left" vertical="center" wrapText="1"/>
    </xf>
    <xf numFmtId="3" fontId="4" fillId="0" borderId="9" xfId="0" applyNumberFormat="1" applyFont="1" applyFill="1" applyBorder="1" applyAlignment="1">
      <alignment horizontal="center" vertical="center"/>
    </xf>
    <xf numFmtId="49" fontId="4" fillId="0" borderId="2" xfId="0" applyNumberFormat="1" applyFont="1" applyFill="1" applyBorder="1" applyAlignment="1" applyProtection="1">
      <alignment horizontal="left" vertical="center" wrapText="1"/>
      <protection locked="0"/>
    </xf>
    <xf numFmtId="0" fontId="4" fillId="0" borderId="2" xfId="0" applyFont="1" applyFill="1" applyBorder="1" applyAlignment="1" applyProtection="1">
      <alignment horizontal="left" vertical="center"/>
      <protection locked="0"/>
    </xf>
    <xf numFmtId="3" fontId="4" fillId="0" borderId="6" xfId="0" applyNumberFormat="1" applyFont="1" applyFill="1" applyBorder="1" applyAlignment="1">
      <alignment horizontal="center" vertical="center"/>
    </xf>
    <xf numFmtId="3" fontId="4" fillId="0" borderId="0" xfId="0" applyNumberFormat="1" applyFont="1" applyFill="1" applyBorder="1" applyAlignment="1">
      <alignment horizontal="center" vertical="center"/>
    </xf>
    <xf numFmtId="3" fontId="3" fillId="0" borderId="10" xfId="0" applyNumberFormat="1" applyFont="1" applyFill="1" applyBorder="1" applyAlignment="1">
      <alignment horizontal="left" vertical="center"/>
    </xf>
    <xf numFmtId="3" fontId="3" fillId="0" borderId="12" xfId="0" applyNumberFormat="1" applyFont="1" applyFill="1" applyBorder="1" applyAlignment="1">
      <alignment horizontal="left" vertical="center"/>
    </xf>
    <xf numFmtId="0" fontId="3" fillId="0" borderId="2" xfId="0" applyFont="1" applyBorder="1"/>
    <xf numFmtId="177" fontId="4" fillId="0" borderId="2" xfId="0" applyNumberFormat="1" applyFont="1" applyBorder="1"/>
    <xf numFmtId="10" fontId="4" fillId="0" borderId="2" xfId="0" applyNumberFormat="1" applyFont="1" applyBorder="1"/>
    <xf numFmtId="14" fontId="4" fillId="0" borderId="2" xfId="0" applyNumberFormat="1" applyFont="1" applyBorder="1" applyAlignment="1">
      <alignment horizontal="left"/>
    </xf>
    <xf numFmtId="14" fontId="4" fillId="0" borderId="31" xfId="0" applyNumberFormat="1" applyFont="1" applyBorder="1"/>
    <xf numFmtId="182" fontId="4" fillId="0" borderId="6" xfId="0" applyNumberFormat="1" applyFont="1" applyBorder="1"/>
    <xf numFmtId="0" fontId="4" fillId="0" borderId="1" xfId="0" applyFont="1" applyBorder="1" applyAlignment="1">
      <alignment horizontal="center"/>
    </xf>
    <xf numFmtId="177" fontId="4" fillId="0" borderId="6" xfId="0" applyNumberFormat="1" applyFont="1" applyBorder="1"/>
    <xf numFmtId="177" fontId="4" fillId="0" borderId="20" xfId="0" applyNumberFormat="1" applyFont="1" applyBorder="1"/>
    <xf numFmtId="10" fontId="4" fillId="0" borderId="22" xfId="0" applyNumberFormat="1" applyFont="1" applyBorder="1"/>
    <xf numFmtId="0" fontId="3" fillId="0" borderId="30" xfId="0" applyFont="1" applyBorder="1"/>
    <xf numFmtId="0" fontId="3" fillId="0" borderId="31" xfId="0" applyFont="1" applyBorder="1"/>
    <xf numFmtId="0" fontId="3" fillId="0" borderId="1" xfId="0" applyFont="1" applyBorder="1"/>
    <xf numFmtId="179" fontId="3" fillId="0" borderId="31" xfId="0" applyNumberFormat="1" applyFont="1" applyBorder="1"/>
    <xf numFmtId="10" fontId="3" fillId="0" borderId="31" xfId="0" applyNumberFormat="1" applyFont="1" applyBorder="1"/>
    <xf numFmtId="179" fontId="3" fillId="0" borderId="32" xfId="0" applyNumberFormat="1" applyFont="1" applyBorder="1"/>
    <xf numFmtId="0" fontId="3" fillId="0" borderId="2" xfId="0" applyFont="1" applyBorder="1" applyAlignment="1" applyProtection="1">
      <alignment horizontal="center"/>
    </xf>
    <xf numFmtId="0" fontId="0" fillId="0" borderId="0" xfId="0" applyFont="1" applyAlignment="1" applyProtection="1">
      <alignment horizontal="left"/>
    </xf>
    <xf numFmtId="0" fontId="4" fillId="0" borderId="0" xfId="0" applyFont="1" applyAlignment="1" applyProtection="1">
      <alignment horizontal="left"/>
    </xf>
    <xf numFmtId="0" fontId="0" fillId="0" borderId="0" xfId="0" applyAlignment="1" applyProtection="1">
      <alignment horizontal="left"/>
    </xf>
    <xf numFmtId="4" fontId="4" fillId="0" borderId="0" xfId="0" applyNumberFormat="1" applyFont="1" applyAlignment="1" applyProtection="1">
      <alignment horizontal="left"/>
    </xf>
    <xf numFmtId="14" fontId="4" fillId="0" borderId="0" xfId="0" applyNumberFormat="1" applyFont="1" applyFill="1" applyAlignment="1" applyProtection="1">
      <alignment horizontal="left"/>
    </xf>
    <xf numFmtId="14" fontId="4" fillId="0" borderId="0" xfId="0" applyNumberFormat="1" applyFont="1" applyAlignment="1" applyProtection="1">
      <alignment horizontal="left"/>
      <protection hidden="1"/>
    </xf>
    <xf numFmtId="14" fontId="4" fillId="0" borderId="0" xfId="0" applyNumberFormat="1" applyFont="1" applyFill="1" applyAlignment="1" applyProtection="1">
      <alignment horizontal="left"/>
      <protection hidden="1"/>
    </xf>
    <xf numFmtId="0" fontId="6" fillId="13" borderId="24" xfId="0" applyFont="1" applyFill="1" applyBorder="1" applyAlignment="1" applyProtection="1">
      <alignment horizontal="center"/>
    </xf>
    <xf numFmtId="0" fontId="4" fillId="13" borderId="19" xfId="0" applyFont="1" applyFill="1" applyBorder="1" applyAlignment="1" applyProtection="1">
      <alignment horizontal="center"/>
    </xf>
    <xf numFmtId="4" fontId="3" fillId="13" borderId="24" xfId="0" applyNumberFormat="1" applyFont="1" applyFill="1" applyBorder="1" applyAlignment="1" applyProtection="1">
      <alignment horizontal="center"/>
    </xf>
    <xf numFmtId="4" fontId="3" fillId="13" borderId="14" xfId="0" applyNumberFormat="1" applyFont="1" applyFill="1" applyBorder="1" applyAlignment="1" applyProtection="1">
      <alignment horizontal="center"/>
    </xf>
    <xf numFmtId="0" fontId="3" fillId="13" borderId="14" xfId="0" applyFont="1" applyFill="1" applyBorder="1" applyAlignment="1" applyProtection="1">
      <alignment horizontal="center"/>
    </xf>
    <xf numFmtId="0" fontId="3" fillId="13" borderId="19" xfId="0" applyFont="1" applyFill="1" applyBorder="1" applyAlignment="1" applyProtection="1">
      <alignment horizontal="center"/>
    </xf>
    <xf numFmtId="0" fontId="6" fillId="13" borderId="12" xfId="0" applyFont="1" applyFill="1" applyBorder="1" applyAlignment="1" applyProtection="1">
      <alignment horizontal="center"/>
    </xf>
    <xf numFmtId="0" fontId="4" fillId="13" borderId="25" xfId="0" applyFont="1" applyFill="1" applyBorder="1" applyAlignment="1" applyProtection="1">
      <alignment horizontal="center"/>
    </xf>
    <xf numFmtId="0" fontId="3" fillId="13" borderId="12" xfId="0" applyFont="1" applyFill="1" applyBorder="1" applyAlignment="1" applyProtection="1">
      <alignment horizontal="center"/>
    </xf>
    <xf numFmtId="0" fontId="3" fillId="13" borderId="0" xfId="0" applyFont="1" applyFill="1" applyBorder="1" applyAlignment="1" applyProtection="1">
      <alignment horizontal="center"/>
    </xf>
    <xf numFmtId="0" fontId="3" fillId="13" borderId="25" xfId="0" applyFont="1" applyFill="1" applyBorder="1" applyAlignment="1" applyProtection="1">
      <alignment horizontal="center"/>
    </xf>
    <xf numFmtId="4" fontId="3" fillId="13" borderId="12" xfId="0" applyNumberFormat="1" applyFont="1" applyFill="1" applyBorder="1" applyAlignment="1" applyProtection="1">
      <alignment horizontal="center"/>
    </xf>
    <xf numFmtId="4" fontId="3" fillId="13" borderId="0" xfId="0" applyNumberFormat="1" applyFont="1" applyFill="1" applyBorder="1" applyAlignment="1" applyProtection="1">
      <alignment horizontal="center"/>
    </xf>
    <xf numFmtId="4" fontId="3" fillId="13" borderId="25" xfId="0" applyNumberFormat="1" applyFont="1" applyFill="1" applyBorder="1" applyAlignment="1" applyProtection="1">
      <alignment horizontal="center"/>
    </xf>
    <xf numFmtId="3" fontId="3" fillId="13" borderId="2" xfId="0" applyNumberFormat="1" applyFont="1" applyFill="1" applyBorder="1" applyAlignment="1">
      <alignment horizontal="justify" vertical="center" wrapText="1"/>
    </xf>
    <xf numFmtId="0" fontId="4" fillId="14" borderId="2" xfId="0" applyFont="1" applyFill="1" applyBorder="1"/>
    <xf numFmtId="179" fontId="4" fillId="14" borderId="2" xfId="0" applyNumberFormat="1" applyFont="1" applyFill="1" applyBorder="1"/>
    <xf numFmtId="177" fontId="4" fillId="15" borderId="6" xfId="0" applyNumberFormat="1" applyFont="1" applyFill="1" applyBorder="1"/>
    <xf numFmtId="182" fontId="4" fillId="15" borderId="6" xfId="0" applyNumberFormat="1" applyFont="1" applyFill="1" applyBorder="1"/>
    <xf numFmtId="179" fontId="5" fillId="16" borderId="0" xfId="0" applyNumberFormat="1" applyFont="1" applyFill="1" applyBorder="1" applyAlignment="1" applyProtection="1">
      <alignment horizontal="right"/>
    </xf>
    <xf numFmtId="4" fontId="3" fillId="16" borderId="4" xfId="0" applyNumberFormat="1" applyFont="1" applyFill="1" applyBorder="1" applyAlignment="1" applyProtection="1">
      <alignment horizontal="center"/>
    </xf>
    <xf numFmtId="4" fontId="3" fillId="16" borderId="5" xfId="0" applyNumberFormat="1" applyFont="1" applyFill="1" applyBorder="1" applyAlignment="1" applyProtection="1">
      <alignment horizontal="center"/>
    </xf>
    <xf numFmtId="176" fontId="3" fillId="16" borderId="30" xfId="0" applyNumberFormat="1" applyFont="1" applyFill="1" applyBorder="1" applyAlignment="1">
      <alignment horizontal="left" wrapText="1"/>
    </xf>
    <xf numFmtId="0" fontId="3" fillId="16" borderId="31" xfId="0" applyNumberFormat="1" applyFont="1" applyFill="1" applyBorder="1" applyAlignment="1">
      <alignment horizontal="left"/>
    </xf>
    <xf numFmtId="176" fontId="3" fillId="16" borderId="31" xfId="0" applyNumberFormat="1" applyFont="1" applyFill="1" applyBorder="1" applyAlignment="1">
      <alignment horizontal="left"/>
    </xf>
    <xf numFmtId="176" fontId="4" fillId="16" borderId="31" xfId="0" applyNumberFormat="1" applyFont="1" applyFill="1" applyBorder="1" applyAlignment="1">
      <alignment horizontal="left"/>
    </xf>
    <xf numFmtId="0" fontId="3" fillId="16" borderId="31" xfId="0" applyNumberFormat="1" applyFont="1" applyFill="1" applyBorder="1" applyAlignment="1">
      <alignment horizontal="center"/>
    </xf>
    <xf numFmtId="176" fontId="4" fillId="16" borderId="32" xfId="0" applyNumberFormat="1" applyFont="1" applyFill="1" applyBorder="1" applyAlignment="1">
      <alignment horizontal="left"/>
    </xf>
    <xf numFmtId="10" fontId="4" fillId="11" borderId="2" xfId="0" applyNumberFormat="1" applyFont="1" applyFill="1" applyBorder="1" applyAlignment="1">
      <alignment horizontal="left"/>
    </xf>
    <xf numFmtId="176" fontId="3" fillId="17" borderId="1" xfId="0" applyNumberFormat="1" applyFont="1" applyFill="1" applyBorder="1" applyAlignment="1">
      <alignment horizontal="left" wrapText="1"/>
    </xf>
    <xf numFmtId="0" fontId="4" fillId="0" borderId="7" xfId="0" applyFont="1" applyBorder="1" applyAlignment="1">
      <alignment horizontal="left" wrapText="1"/>
    </xf>
    <xf numFmtId="179" fontId="4" fillId="0" borderId="18" xfId="0" applyNumberFormat="1" applyFont="1" applyBorder="1" applyAlignment="1">
      <alignment horizontal="left"/>
    </xf>
    <xf numFmtId="10" fontId="4" fillId="11" borderId="5" xfId="0" applyNumberFormat="1" applyFont="1" applyFill="1" applyBorder="1" applyAlignment="1">
      <alignment horizontal="left"/>
    </xf>
    <xf numFmtId="177" fontId="4" fillId="0" borderId="18" xfId="0" applyNumberFormat="1" applyFont="1" applyBorder="1" applyAlignment="1">
      <alignment horizontal="left"/>
    </xf>
    <xf numFmtId="177" fontId="4" fillId="0" borderId="18" xfId="0" applyNumberFormat="1" applyFont="1" applyBorder="1" applyAlignment="1">
      <alignment horizontal="right"/>
    </xf>
    <xf numFmtId="10" fontId="4" fillId="11" borderId="6" xfId="0" applyNumberFormat="1" applyFont="1" applyFill="1" applyBorder="1" applyAlignment="1">
      <alignment horizontal="left"/>
    </xf>
    <xf numFmtId="10" fontId="4" fillId="11" borderId="16" xfId="0" applyNumberFormat="1" applyFont="1" applyFill="1" applyBorder="1" applyAlignment="1">
      <alignment horizontal="left"/>
    </xf>
    <xf numFmtId="176" fontId="3" fillId="18" borderId="21" xfId="0" applyNumberFormat="1" applyFont="1" applyFill="1" applyBorder="1" applyAlignment="1">
      <alignment horizontal="left" wrapText="1"/>
    </xf>
    <xf numFmtId="179" fontId="3" fillId="18" borderId="20" xfId="0" applyNumberFormat="1" applyFont="1" applyFill="1" applyBorder="1" applyAlignment="1">
      <alignment horizontal="left" wrapText="1"/>
    </xf>
    <xf numFmtId="10" fontId="4" fillId="18" borderId="20" xfId="0" applyNumberFormat="1" applyFont="1" applyFill="1" applyBorder="1" applyAlignment="1">
      <alignment horizontal="left"/>
    </xf>
    <xf numFmtId="179" fontId="3" fillId="18" borderId="20" xfId="0" applyNumberFormat="1" applyFont="1" applyFill="1" applyBorder="1" applyAlignment="1">
      <alignment horizontal="right" wrapText="1"/>
    </xf>
    <xf numFmtId="177" fontId="3" fillId="18" borderId="20" xfId="0" applyNumberFormat="1" applyFont="1" applyFill="1" applyBorder="1" applyAlignment="1">
      <alignment horizontal="left" wrapText="1"/>
    </xf>
    <xf numFmtId="10" fontId="4" fillId="18" borderId="22" xfId="0" applyNumberFormat="1" applyFont="1" applyFill="1" applyBorder="1" applyAlignment="1">
      <alignment horizontal="left"/>
    </xf>
    <xf numFmtId="3" fontId="8" fillId="19" borderId="1" xfId="0" applyNumberFormat="1" applyFont="1" applyFill="1" applyBorder="1" applyAlignment="1" applyProtection="1">
      <alignment vertical="center" wrapText="1"/>
      <protection locked="0"/>
    </xf>
    <xf numFmtId="3" fontId="8" fillId="19" borderId="1" xfId="0" applyNumberFormat="1" applyFont="1" applyFill="1" applyBorder="1" applyAlignment="1" applyProtection="1">
      <alignment vertical="center"/>
      <protection locked="0"/>
    </xf>
    <xf numFmtId="3" fontId="3" fillId="0" borderId="2" xfId="0" applyNumberFormat="1" applyFont="1" applyFill="1" applyBorder="1" applyAlignment="1">
      <alignment horizontal="justify" wrapText="1"/>
    </xf>
    <xf numFmtId="0" fontId="4" fillId="0" borderId="2" xfId="0" applyFont="1" applyFill="1" applyBorder="1" applyAlignment="1">
      <alignment horizontal="left" wrapText="1" indent="2"/>
    </xf>
    <xf numFmtId="0" fontId="4" fillId="0" borderId="2" xfId="0" applyFont="1" applyFill="1" applyBorder="1" applyAlignment="1">
      <alignment horizontal="left" wrapText="1"/>
    </xf>
    <xf numFmtId="0" fontId="4" fillId="0" borderId="2" xfId="0" applyFont="1" applyFill="1" applyBorder="1" applyAlignment="1">
      <alignment horizontal="right" wrapText="1" indent="2"/>
    </xf>
    <xf numFmtId="0" fontId="3" fillId="0" borderId="17" xfId="0" applyFont="1" applyFill="1" applyBorder="1" applyAlignment="1">
      <alignment vertical="center"/>
    </xf>
    <xf numFmtId="0" fontId="3" fillId="0" borderId="2" xfId="0" applyFont="1" applyFill="1" applyBorder="1" applyAlignment="1">
      <alignment vertical="center"/>
    </xf>
    <xf numFmtId="3" fontId="4" fillId="0" borderId="0" xfId="0" applyNumberFormat="1" applyFont="1" applyFill="1" applyBorder="1" applyAlignment="1">
      <alignment vertical="center"/>
    </xf>
    <xf numFmtId="3" fontId="3" fillId="0" borderId="0" xfId="0" applyNumberFormat="1" applyFont="1" applyFill="1" applyBorder="1" applyAlignment="1">
      <alignment horizontal="center" vertical="center"/>
    </xf>
    <xf numFmtId="3" fontId="4" fillId="0" borderId="0" xfId="0" applyNumberFormat="1" applyFont="1" applyFill="1" applyBorder="1" applyAlignment="1">
      <alignment horizontal="center" vertical="center" wrapText="1"/>
    </xf>
    <xf numFmtId="31" fontId="4" fillId="0" borderId="2" xfId="0" applyNumberFormat="1" applyFont="1" applyFill="1" applyBorder="1" applyAlignment="1" applyProtection="1">
      <alignment horizontal="left" vertical="center" wrapText="1"/>
      <protection locked="0"/>
    </xf>
    <xf numFmtId="3" fontId="4" fillId="0" borderId="2" xfId="0" applyNumberFormat="1" applyFont="1" applyFill="1" applyBorder="1" applyAlignment="1" applyProtection="1">
      <alignment horizontal="left" vertical="center" wrapText="1"/>
      <protection locked="0"/>
    </xf>
    <xf numFmtId="179" fontId="4" fillId="0" borderId="2" xfId="0" applyNumberFormat="1" applyFont="1" applyFill="1" applyBorder="1" applyAlignment="1">
      <alignment vertical="center"/>
    </xf>
    <xf numFmtId="0" fontId="4" fillId="0" borderId="2" xfId="0" applyFont="1" applyFill="1" applyBorder="1" applyAlignment="1">
      <alignment vertical="center"/>
    </xf>
    <xf numFmtId="3" fontId="4" fillId="0" borderId="0" xfId="0" applyNumberFormat="1" applyFont="1" applyFill="1" applyBorder="1" applyAlignment="1">
      <alignment vertical="center" wrapText="1"/>
    </xf>
    <xf numFmtId="3" fontId="3" fillId="0" borderId="13" xfId="0" applyNumberFormat="1" applyFont="1" applyFill="1" applyBorder="1" applyAlignment="1">
      <alignment horizontal="center" vertical="center"/>
    </xf>
    <xf numFmtId="0" fontId="3" fillId="0" borderId="2" xfId="0" applyNumberFormat="1" applyFont="1" applyFill="1" applyBorder="1" applyAlignment="1">
      <alignment horizontal="center" wrapText="1"/>
    </xf>
    <xf numFmtId="0" fontId="4" fillId="0" borderId="2" xfId="0" applyFont="1" applyFill="1" applyBorder="1" applyAlignment="1">
      <alignment horizontal="right" wrapText="1" indent="1"/>
    </xf>
    <xf numFmtId="0" fontId="4" fillId="0" borderId="2" xfId="0" applyFont="1" applyFill="1" applyBorder="1" applyAlignment="1">
      <alignment horizontal="left" vertical="top" wrapText="1"/>
    </xf>
    <xf numFmtId="0" fontId="4" fillId="0" borderId="2" xfId="0" applyFont="1" applyFill="1" applyBorder="1" applyAlignment="1">
      <alignment horizontal="right" vertical="top" wrapText="1" indent="1"/>
    </xf>
    <xf numFmtId="3" fontId="3" fillId="11" borderId="1" xfId="0" applyNumberFormat="1" applyFont="1" applyFill="1" applyBorder="1" applyAlignment="1">
      <alignment horizontal="center" vertical="center"/>
    </xf>
    <xf numFmtId="3" fontId="3" fillId="11" borderId="1" xfId="0" applyNumberFormat="1" applyFont="1" applyFill="1" applyBorder="1" applyAlignment="1">
      <alignment horizontal="center" vertical="center" wrapText="1"/>
    </xf>
    <xf numFmtId="189" fontId="4" fillId="11" borderId="2" xfId="0" applyNumberFormat="1" applyFont="1" applyFill="1" applyBorder="1" applyAlignment="1">
      <alignment horizontal="center" vertical="center"/>
    </xf>
    <xf numFmtId="3" fontId="3" fillId="11" borderId="2" xfId="0" applyNumberFormat="1" applyFont="1" applyFill="1" applyBorder="1" applyAlignment="1">
      <alignment horizontal="center" vertical="center"/>
    </xf>
    <xf numFmtId="3" fontId="4" fillId="11" borderId="2" xfId="0" applyNumberFormat="1" applyFont="1" applyFill="1" applyBorder="1" applyAlignment="1">
      <alignment horizontal="center" vertical="center"/>
    </xf>
    <xf numFmtId="4" fontId="4" fillId="11" borderId="2" xfId="0" applyNumberFormat="1" applyFont="1" applyFill="1" applyBorder="1" applyAlignment="1">
      <alignment horizontal="center" vertical="center"/>
    </xf>
    <xf numFmtId="0" fontId="4" fillId="11" borderId="2" xfId="0" applyNumberFormat="1" applyFont="1" applyFill="1" applyBorder="1" applyAlignment="1">
      <alignment horizontal="center" vertical="center"/>
    </xf>
    <xf numFmtId="0" fontId="4" fillId="11" borderId="6" xfId="0" applyNumberFormat="1" applyFont="1" applyFill="1" applyBorder="1" applyAlignment="1">
      <alignment horizontal="center" vertical="center"/>
    </xf>
    <xf numFmtId="179" fontId="4" fillId="11" borderId="2" xfId="0" applyNumberFormat="1" applyFont="1" applyFill="1" applyBorder="1" applyAlignment="1">
      <alignment horizontal="center" vertical="center"/>
    </xf>
    <xf numFmtId="179" fontId="4" fillId="11" borderId="6" xfId="0" applyNumberFormat="1" applyFont="1" applyFill="1" applyBorder="1" applyAlignment="1">
      <alignment horizontal="center" vertical="center"/>
    </xf>
    <xf numFmtId="3" fontId="4" fillId="11" borderId="6" xfId="0" applyNumberFormat="1" applyFont="1" applyFill="1" applyBorder="1" applyAlignment="1">
      <alignment horizontal="center" vertical="center"/>
    </xf>
    <xf numFmtId="177" fontId="4" fillId="11" borderId="2" xfId="0" applyNumberFormat="1" applyFont="1" applyFill="1" applyBorder="1" applyAlignment="1">
      <alignment horizontal="left" vertical="center"/>
    </xf>
    <xf numFmtId="187" fontId="4" fillId="11" borderId="2" xfId="0" applyNumberFormat="1" applyFont="1" applyFill="1" applyBorder="1" applyAlignment="1">
      <alignment horizontal="center" vertical="center"/>
    </xf>
    <xf numFmtId="176" fontId="4" fillId="11" borderId="2" xfId="0" applyNumberFormat="1" applyFont="1" applyFill="1" applyBorder="1" applyAlignment="1">
      <alignment horizontal="center" vertical="center"/>
    </xf>
    <xf numFmtId="176" fontId="4" fillId="11" borderId="6" xfId="0" applyNumberFormat="1" applyFont="1" applyFill="1" applyBorder="1" applyAlignment="1">
      <alignment horizontal="center" vertical="center"/>
    </xf>
    <xf numFmtId="187" fontId="4" fillId="11" borderId="6" xfId="0" applyNumberFormat="1" applyFont="1" applyFill="1" applyBorder="1" applyAlignment="1">
      <alignment horizontal="center" vertical="center"/>
    </xf>
    <xf numFmtId="0" fontId="3" fillId="11" borderId="2" xfId="0" applyNumberFormat="1" applyFont="1" applyFill="1" applyBorder="1" applyAlignment="1">
      <alignment horizontal="center" vertical="center"/>
    </xf>
    <xf numFmtId="188" fontId="3" fillId="11" borderId="2" xfId="0" applyNumberFormat="1" applyFont="1" applyFill="1" applyBorder="1" applyAlignment="1">
      <alignment horizontal="center" vertical="center"/>
    </xf>
    <xf numFmtId="0" fontId="3" fillId="11" borderId="6" xfId="0" applyNumberFormat="1" applyFont="1" applyFill="1" applyBorder="1" applyAlignment="1">
      <alignment horizontal="center" vertical="center"/>
    </xf>
    <xf numFmtId="0" fontId="4" fillId="11" borderId="2" xfId="0" applyFont="1" applyFill="1" applyBorder="1" applyAlignment="1">
      <alignment horizontal="center" vertical="center"/>
    </xf>
    <xf numFmtId="10" fontId="4" fillId="11" borderId="2" xfId="0" applyNumberFormat="1" applyFont="1" applyFill="1" applyBorder="1" applyAlignment="1">
      <alignment horizontal="center" vertical="center"/>
    </xf>
    <xf numFmtId="3" fontId="4" fillId="11" borderId="1" xfId="0" applyNumberFormat="1" applyFont="1" applyFill="1" applyBorder="1" applyAlignment="1">
      <alignment horizontal="center" vertical="center"/>
    </xf>
    <xf numFmtId="3" fontId="4" fillId="11" borderId="1" xfId="0" applyNumberFormat="1" applyFont="1" applyFill="1" applyBorder="1" applyAlignment="1">
      <alignment horizontal="left" vertical="center"/>
    </xf>
    <xf numFmtId="3" fontId="3" fillId="11" borderId="1" xfId="0" applyNumberFormat="1" applyFont="1" applyFill="1" applyBorder="1" applyAlignment="1">
      <alignment horizontal="left" vertical="center" wrapText="1"/>
    </xf>
    <xf numFmtId="3" fontId="3" fillId="11" borderId="1" xfId="0" applyNumberFormat="1" applyFont="1" applyFill="1" applyBorder="1" applyAlignment="1">
      <alignment horizontal="left" vertical="center"/>
    </xf>
    <xf numFmtId="3" fontId="4" fillId="11" borderId="6" xfId="0" applyNumberFormat="1" applyFont="1" applyFill="1" applyBorder="1" applyAlignment="1">
      <alignment vertical="center"/>
    </xf>
    <xf numFmtId="3" fontId="3" fillId="11" borderId="21" xfId="0" applyNumberFormat="1" applyFont="1" applyFill="1" applyBorder="1" applyAlignment="1">
      <alignment horizontal="center" vertical="center"/>
    </xf>
    <xf numFmtId="177" fontId="8" fillId="11" borderId="2" xfId="0" applyNumberFormat="1" applyFont="1" applyFill="1" applyBorder="1" applyAlignment="1">
      <alignment horizontal="center" vertical="center"/>
    </xf>
    <xf numFmtId="177" fontId="4" fillId="11" borderId="6" xfId="0" applyNumberFormat="1" applyFont="1" applyFill="1" applyBorder="1" applyAlignment="1">
      <alignment horizontal="center" vertical="center"/>
    </xf>
    <xf numFmtId="3" fontId="3" fillId="11" borderId="1" xfId="0" applyNumberFormat="1" applyFont="1" applyFill="1" applyBorder="1" applyAlignment="1">
      <alignment vertical="center"/>
    </xf>
    <xf numFmtId="3" fontId="4" fillId="11" borderId="52" xfId="0" applyNumberFormat="1" applyFont="1" applyFill="1" applyBorder="1" applyAlignment="1">
      <alignment horizontal="center" vertical="center"/>
    </xf>
    <xf numFmtId="0" fontId="3" fillId="11" borderId="34" xfId="0" applyNumberFormat="1" applyFont="1" applyFill="1" applyBorder="1" applyAlignment="1">
      <alignment horizontal="center" vertical="center"/>
    </xf>
    <xf numFmtId="0" fontId="4" fillId="11" borderId="34" xfId="0" applyNumberFormat="1" applyFont="1" applyFill="1" applyBorder="1" applyAlignment="1">
      <alignment horizontal="center" vertical="center"/>
    </xf>
    <xf numFmtId="179" fontId="4" fillId="11" borderId="34" xfId="0" applyNumberFormat="1" applyFont="1" applyFill="1" applyBorder="1" applyAlignment="1">
      <alignment horizontal="center" vertical="center"/>
    </xf>
    <xf numFmtId="3" fontId="4" fillId="11" borderId="34" xfId="0" applyNumberFormat="1" applyFont="1" applyFill="1" applyBorder="1" applyAlignment="1">
      <alignment horizontal="center" vertical="center"/>
    </xf>
    <xf numFmtId="177" fontId="4" fillId="11" borderId="34" xfId="0" applyNumberFormat="1" applyFont="1" applyFill="1" applyBorder="1" applyAlignment="1">
      <alignment horizontal="center" vertical="center"/>
    </xf>
    <xf numFmtId="176" fontId="4" fillId="11" borderId="34" xfId="0" applyNumberFormat="1" applyFont="1" applyFill="1" applyBorder="1" applyAlignment="1">
      <alignment horizontal="center" vertical="center"/>
    </xf>
    <xf numFmtId="187" fontId="4" fillId="11" borderId="34" xfId="0" applyNumberFormat="1" applyFont="1" applyFill="1" applyBorder="1" applyAlignment="1">
      <alignment horizontal="center" vertical="center"/>
    </xf>
    <xf numFmtId="179" fontId="4" fillId="11" borderId="54" xfId="0" applyNumberFormat="1" applyFont="1" applyFill="1" applyBorder="1" applyAlignment="1">
      <alignment horizontal="center" vertical="center"/>
    </xf>
    <xf numFmtId="3" fontId="4" fillId="16" borderId="28" xfId="0" applyNumberFormat="1" applyFont="1" applyFill="1" applyBorder="1" applyAlignment="1">
      <alignment horizontal="center" vertical="center"/>
    </xf>
    <xf numFmtId="10" fontId="4" fillId="16" borderId="33" xfId="0" applyNumberFormat="1" applyFont="1" applyFill="1" applyBorder="1" applyAlignment="1">
      <alignment horizontal="center" vertical="center"/>
    </xf>
    <xf numFmtId="0" fontId="4" fillId="0" borderId="2" xfId="0" applyNumberFormat="1" applyFont="1" applyFill="1" applyBorder="1" applyAlignment="1">
      <alignment horizontal="center" vertical="center" wrapText="1"/>
    </xf>
    <xf numFmtId="176" fontId="4" fillId="0" borderId="2" xfId="0" applyNumberFormat="1" applyFont="1" applyFill="1" applyBorder="1" applyAlignment="1">
      <alignment horizontal="center" vertical="center" wrapText="1"/>
    </xf>
    <xf numFmtId="176" fontId="3" fillId="0" borderId="2" xfId="0" applyNumberFormat="1" applyFont="1" applyFill="1" applyBorder="1" applyAlignment="1">
      <alignment horizontal="center" vertical="center" wrapText="1"/>
    </xf>
    <xf numFmtId="3" fontId="3" fillId="0" borderId="2" xfId="0" applyNumberFormat="1" applyFont="1" applyFill="1" applyBorder="1" applyAlignment="1">
      <alignment horizontal="left" vertical="center" wrapText="1"/>
    </xf>
    <xf numFmtId="3" fontId="3" fillId="0" borderId="17" xfId="0" applyNumberFormat="1" applyFont="1" applyFill="1" applyBorder="1" applyAlignment="1">
      <alignment horizontal="left" vertical="center"/>
    </xf>
    <xf numFmtId="3" fontId="23" fillId="0" borderId="2" xfId="0" applyNumberFormat="1" applyFont="1" applyFill="1" applyBorder="1" applyAlignment="1">
      <alignment horizontal="center" wrapText="1"/>
    </xf>
    <xf numFmtId="0" fontId="3" fillId="0" borderId="2" xfId="0" applyFont="1" applyFill="1" applyBorder="1" applyAlignment="1">
      <alignment horizontal="center" wrapText="1"/>
    </xf>
    <xf numFmtId="3" fontId="23" fillId="0" borderId="2" xfId="0" applyNumberFormat="1" applyFont="1" applyFill="1" applyBorder="1" applyAlignment="1">
      <alignment horizontal="justify" wrapText="1"/>
    </xf>
    <xf numFmtId="0" fontId="3" fillId="0" borderId="2" xfId="0" applyFont="1" applyFill="1" applyBorder="1" applyAlignment="1">
      <alignment horizontal="justify" wrapText="1"/>
    </xf>
    <xf numFmtId="0" fontId="4" fillId="0" borderId="2" xfId="0" applyFont="1" applyFill="1" applyBorder="1" applyAlignment="1">
      <alignment horizontal="center" wrapText="1"/>
    </xf>
    <xf numFmtId="3" fontId="4" fillId="0" borderId="2" xfId="0" applyNumberFormat="1" applyFont="1" applyFill="1" applyBorder="1" applyAlignment="1" applyProtection="1">
      <alignment horizontal="center" vertical="center"/>
      <protection locked="0"/>
    </xf>
    <xf numFmtId="3" fontId="3" fillId="0" borderId="2" xfId="0" applyNumberFormat="1" applyFont="1" applyFill="1" applyBorder="1" applyAlignment="1" applyProtection="1">
      <alignment horizontal="center" vertical="center"/>
    </xf>
    <xf numFmtId="179" fontId="4" fillId="0" borderId="2" xfId="0" applyNumberFormat="1" applyFont="1" applyFill="1" applyBorder="1" applyAlignment="1" applyProtection="1">
      <alignment horizontal="center" vertical="center"/>
      <protection locked="0"/>
    </xf>
    <xf numFmtId="3" fontId="3" fillId="0" borderId="2" xfId="0" applyNumberFormat="1" applyFont="1" applyFill="1" applyBorder="1" applyAlignment="1" applyProtection="1">
      <alignment horizontal="left" vertical="center"/>
      <protection locked="0"/>
    </xf>
    <xf numFmtId="178" fontId="4" fillId="0" borderId="2" xfId="0" applyNumberFormat="1" applyFont="1" applyFill="1" applyBorder="1" applyAlignment="1">
      <alignment horizontal="left" vertical="center"/>
    </xf>
    <xf numFmtId="176" fontId="4" fillId="0" borderId="2" xfId="0" applyNumberFormat="1" applyFont="1" applyFill="1" applyBorder="1" applyAlignment="1">
      <alignment horizontal="left" vertical="center" wrapText="1"/>
    </xf>
    <xf numFmtId="0" fontId="4" fillId="0" borderId="2" xfId="0" applyNumberFormat="1" applyFont="1" applyFill="1" applyBorder="1" applyAlignment="1">
      <alignment horizontal="center" vertical="center" wrapText="1"/>
    </xf>
    <xf numFmtId="3" fontId="3" fillId="0" borderId="2" xfId="0" applyNumberFormat="1" applyFont="1" applyFill="1" applyBorder="1" applyAlignment="1">
      <alignment horizontal="center" vertical="center" wrapText="1"/>
    </xf>
    <xf numFmtId="3" fontId="3" fillId="0" borderId="2" xfId="0" applyNumberFormat="1" applyFont="1" applyFill="1" applyBorder="1" applyAlignment="1">
      <alignment horizontal="center" vertical="center"/>
    </xf>
    <xf numFmtId="3" fontId="4" fillId="0" borderId="0" xfId="0" applyNumberFormat="1" applyFont="1" applyFill="1" applyBorder="1" applyAlignment="1">
      <alignment horizontal="center" vertical="center"/>
    </xf>
    <xf numFmtId="3" fontId="4" fillId="16" borderId="61" xfId="0" applyNumberFormat="1" applyFont="1" applyFill="1" applyBorder="1" applyAlignment="1">
      <alignment horizontal="center" vertical="center"/>
    </xf>
    <xf numFmtId="3" fontId="4" fillId="16" borderId="60" xfId="0" applyNumberFormat="1" applyFont="1" applyFill="1" applyBorder="1" applyAlignment="1">
      <alignment horizontal="center" vertical="center"/>
    </xf>
    <xf numFmtId="10" fontId="4" fillId="11" borderId="2" xfId="0" applyNumberFormat="1" applyFont="1" applyFill="1" applyBorder="1" applyAlignment="1">
      <alignment horizontal="center" vertical="center"/>
    </xf>
    <xf numFmtId="3" fontId="4" fillId="11" borderId="2" xfId="0" applyNumberFormat="1" applyFont="1" applyFill="1" applyBorder="1" applyAlignment="1">
      <alignment horizontal="center" vertical="center"/>
    </xf>
    <xf numFmtId="3" fontId="4" fillId="16" borderId="59" xfId="0" applyNumberFormat="1" applyFont="1" applyFill="1" applyBorder="1" applyAlignment="1">
      <alignment horizontal="center" vertical="center" wrapText="1"/>
    </xf>
    <xf numFmtId="3" fontId="4" fillId="16" borderId="60" xfId="0" applyNumberFormat="1" applyFont="1" applyFill="1" applyBorder="1" applyAlignment="1">
      <alignment horizontal="center" vertical="center" wrapText="1"/>
    </xf>
    <xf numFmtId="3" fontId="3" fillId="11" borderId="2" xfId="0" applyNumberFormat="1" applyFont="1" applyFill="1" applyBorder="1" applyAlignment="1">
      <alignment horizontal="center" vertical="center"/>
    </xf>
    <xf numFmtId="176" fontId="3" fillId="0" borderId="2" xfId="0" applyNumberFormat="1" applyFont="1" applyFill="1" applyBorder="1" applyAlignment="1">
      <alignment horizontal="left" vertical="center" wrapText="1"/>
    </xf>
    <xf numFmtId="3" fontId="3" fillId="0" borderId="2" xfId="0" applyNumberFormat="1" applyFont="1" applyFill="1" applyBorder="1" applyAlignment="1">
      <alignment horizontal="left" vertical="center" wrapText="1"/>
    </xf>
    <xf numFmtId="49" fontId="4" fillId="0" borderId="2" xfId="0" applyNumberFormat="1" applyFont="1" applyFill="1" applyBorder="1" applyAlignment="1">
      <alignment horizontal="left" vertical="top" wrapText="1"/>
    </xf>
    <xf numFmtId="0" fontId="4" fillId="0" borderId="2" xfId="0" applyFont="1" applyFill="1" applyBorder="1" applyAlignment="1">
      <alignment horizontal="left" vertical="top" wrapText="1"/>
    </xf>
    <xf numFmtId="3" fontId="4" fillId="11" borderId="16" xfId="0" applyNumberFormat="1" applyFont="1" applyFill="1" applyBorder="1" applyAlignment="1">
      <alignment horizontal="center" vertical="center"/>
    </xf>
    <xf numFmtId="3" fontId="4" fillId="11" borderId="23" xfId="0" applyNumberFormat="1" applyFont="1" applyFill="1" applyBorder="1" applyAlignment="1">
      <alignment horizontal="center" vertical="center"/>
    </xf>
    <xf numFmtId="0" fontId="4" fillId="0" borderId="2" xfId="0" applyFont="1" applyFill="1" applyBorder="1" applyAlignment="1">
      <alignment horizontal="left" vertical="center" wrapText="1"/>
    </xf>
    <xf numFmtId="3" fontId="4" fillId="0" borderId="2" xfId="0" applyNumberFormat="1" applyFont="1" applyFill="1" applyBorder="1" applyAlignment="1">
      <alignment horizontal="center" vertical="top" wrapText="1"/>
    </xf>
    <xf numFmtId="0" fontId="3" fillId="0" borderId="2" xfId="0" applyFont="1" applyFill="1" applyBorder="1" applyAlignment="1">
      <alignment horizontal="left" vertical="center" wrapText="1"/>
    </xf>
    <xf numFmtId="3" fontId="4" fillId="0" borderId="2" xfId="0" applyNumberFormat="1" applyFont="1" applyFill="1" applyBorder="1" applyAlignment="1">
      <alignment horizontal="left" vertical="center" wrapText="1"/>
    </xf>
    <xf numFmtId="0" fontId="4" fillId="0" borderId="2" xfId="0" applyNumberFormat="1" applyFont="1" applyFill="1" applyBorder="1" applyAlignment="1" applyProtection="1">
      <alignment horizontal="left" vertical="center" wrapText="1"/>
      <protection locked="0"/>
    </xf>
    <xf numFmtId="0" fontId="4" fillId="0" borderId="2" xfId="0" applyNumberFormat="1" applyFont="1" applyFill="1" applyBorder="1" applyAlignment="1">
      <alignment horizontal="left"/>
    </xf>
    <xf numFmtId="178" fontId="4" fillId="0" borderId="2" xfId="0" applyNumberFormat="1" applyFont="1" applyFill="1" applyBorder="1" applyAlignment="1">
      <alignment horizontal="left" vertical="center"/>
    </xf>
    <xf numFmtId="3" fontId="4" fillId="0" borderId="2" xfId="0" applyNumberFormat="1" applyFont="1" applyFill="1" applyBorder="1" applyAlignment="1" applyProtection="1">
      <alignment horizontal="center" vertical="center" wrapText="1"/>
      <protection locked="0"/>
    </xf>
    <xf numFmtId="0" fontId="4" fillId="11" borderId="2" xfId="0" applyFont="1" applyFill="1" applyBorder="1" applyAlignment="1">
      <alignment horizontal="center" vertical="center"/>
    </xf>
    <xf numFmtId="3" fontId="4" fillId="11" borderId="12" xfId="0" applyNumberFormat="1" applyFont="1" applyFill="1" applyBorder="1" applyAlignment="1">
      <alignment horizontal="center" vertical="center" wrapText="1"/>
    </xf>
    <xf numFmtId="3" fontId="4" fillId="11" borderId="25" xfId="0" applyNumberFormat="1" applyFont="1" applyFill="1" applyBorder="1" applyAlignment="1">
      <alignment horizontal="center" vertical="center" wrapText="1"/>
    </xf>
    <xf numFmtId="3" fontId="4" fillId="0" borderId="2" xfId="0" applyNumberFormat="1" applyFont="1" applyFill="1" applyBorder="1" applyAlignment="1">
      <alignment horizontal="center" vertical="center"/>
    </xf>
    <xf numFmtId="3" fontId="4" fillId="0" borderId="20" xfId="0" applyNumberFormat="1" applyFont="1" applyFill="1" applyBorder="1" applyAlignment="1">
      <alignment horizontal="center" vertical="center"/>
    </xf>
    <xf numFmtId="3" fontId="4" fillId="11" borderId="5" xfId="0" applyNumberFormat="1" applyFont="1" applyFill="1" applyBorder="1" applyAlignment="1">
      <alignment horizontal="center" vertical="center"/>
    </xf>
    <xf numFmtId="3" fontId="4" fillId="11" borderId="17" xfId="0" applyNumberFormat="1" applyFont="1" applyFill="1" applyBorder="1" applyAlignment="1">
      <alignment horizontal="center" vertical="center"/>
    </xf>
    <xf numFmtId="3" fontId="3" fillId="11" borderId="5" xfId="0" applyNumberFormat="1" applyFont="1" applyFill="1" applyBorder="1" applyAlignment="1">
      <alignment horizontal="center" vertical="center"/>
    </xf>
    <xf numFmtId="3" fontId="3" fillId="11" borderId="17" xfId="0" applyNumberFormat="1" applyFont="1" applyFill="1" applyBorder="1" applyAlignment="1">
      <alignment horizontal="center" vertical="center"/>
    </xf>
    <xf numFmtId="3" fontId="3" fillId="0" borderId="2" xfId="0" applyNumberFormat="1" applyFont="1" applyFill="1" applyBorder="1" applyAlignment="1">
      <alignment vertical="center" wrapText="1"/>
    </xf>
    <xf numFmtId="179" fontId="4" fillId="11" borderId="5" xfId="0" applyNumberFormat="1" applyFont="1" applyFill="1" applyBorder="1" applyAlignment="1">
      <alignment horizontal="center" vertical="center"/>
    </xf>
    <xf numFmtId="179" fontId="4" fillId="11" borderId="17" xfId="0" applyNumberFormat="1" applyFont="1" applyFill="1" applyBorder="1" applyAlignment="1">
      <alignment horizontal="center" vertical="center"/>
    </xf>
    <xf numFmtId="0" fontId="3" fillId="11" borderId="2" xfId="0" applyFont="1" applyFill="1" applyBorder="1" applyAlignment="1">
      <alignment horizontal="center" vertical="center"/>
    </xf>
    <xf numFmtId="3" fontId="3" fillId="11" borderId="62" xfId="0" applyNumberFormat="1" applyFont="1" applyFill="1" applyBorder="1" applyAlignment="1">
      <alignment horizontal="center" vertical="center"/>
    </xf>
    <xf numFmtId="3" fontId="3" fillId="11" borderId="0" xfId="0" applyNumberFormat="1" applyFont="1" applyFill="1" applyBorder="1" applyAlignment="1">
      <alignment horizontal="center" vertical="center"/>
    </xf>
    <xf numFmtId="3" fontId="3" fillId="11" borderId="58" xfId="0" applyNumberFormat="1" applyFont="1" applyFill="1" applyBorder="1" applyAlignment="1">
      <alignment horizontal="center" vertical="center"/>
    </xf>
    <xf numFmtId="3" fontId="3" fillId="11" borderId="42" xfId="0" applyNumberFormat="1" applyFont="1" applyFill="1" applyBorder="1" applyAlignment="1">
      <alignment horizontal="center" vertical="center"/>
    </xf>
    <xf numFmtId="3" fontId="3" fillId="11" borderId="25" xfId="0" applyNumberFormat="1" applyFont="1" applyFill="1" applyBorder="1" applyAlignment="1">
      <alignment horizontal="center" vertical="center"/>
    </xf>
    <xf numFmtId="3" fontId="3" fillId="11" borderId="40" xfId="0" applyNumberFormat="1" applyFont="1" applyFill="1" applyBorder="1" applyAlignment="1">
      <alignment horizontal="center" vertical="center"/>
    </xf>
    <xf numFmtId="176" fontId="3" fillId="11" borderId="57" xfId="0" applyNumberFormat="1" applyFont="1" applyFill="1" applyBorder="1" applyAlignment="1">
      <alignment horizontal="center" vertical="center" wrapText="1"/>
    </xf>
    <xf numFmtId="176" fontId="3" fillId="11" borderId="7" xfId="0" applyNumberFormat="1" applyFont="1" applyFill="1" applyBorder="1" applyAlignment="1">
      <alignment horizontal="center" vertical="center" wrapText="1"/>
    </xf>
    <xf numFmtId="3" fontId="3" fillId="11" borderId="5" xfId="0" applyNumberFormat="1" applyFont="1" applyFill="1" applyBorder="1" applyAlignment="1">
      <alignment horizontal="center" vertical="center" wrapText="1"/>
    </xf>
    <xf numFmtId="3" fontId="3" fillId="11" borderId="17" xfId="0" applyNumberFormat="1" applyFont="1" applyFill="1" applyBorder="1" applyAlignment="1">
      <alignment horizontal="center" vertical="center" wrapText="1"/>
    </xf>
    <xf numFmtId="3" fontId="4" fillId="11" borderId="24" xfId="0" applyNumberFormat="1" applyFont="1" applyFill="1" applyBorder="1" applyAlignment="1">
      <alignment horizontal="left" vertical="center" wrapText="1"/>
    </xf>
    <xf numFmtId="3" fontId="4" fillId="11" borderId="12" xfId="0" applyNumberFormat="1" applyFont="1" applyFill="1" applyBorder="1" applyAlignment="1">
      <alignment horizontal="left" vertical="center" wrapText="1"/>
    </xf>
    <xf numFmtId="3" fontId="4" fillId="11" borderId="39" xfId="0" applyNumberFormat="1" applyFont="1" applyFill="1" applyBorder="1" applyAlignment="1">
      <alignment horizontal="left" vertical="center" wrapText="1"/>
    </xf>
    <xf numFmtId="3" fontId="4" fillId="11" borderId="19" xfId="0" applyNumberFormat="1" applyFont="1" applyFill="1" applyBorder="1" applyAlignment="1">
      <alignment horizontal="left" vertical="center" wrapText="1"/>
    </xf>
    <xf numFmtId="3" fontId="4" fillId="11" borderId="25" xfId="0" applyNumberFormat="1" applyFont="1" applyFill="1" applyBorder="1" applyAlignment="1">
      <alignment horizontal="left" vertical="center" wrapText="1"/>
    </xf>
    <xf numFmtId="3" fontId="4" fillId="11" borderId="40" xfId="0" applyNumberFormat="1" applyFont="1" applyFill="1" applyBorder="1" applyAlignment="1">
      <alignment horizontal="left" vertical="center" wrapText="1"/>
    </xf>
    <xf numFmtId="3" fontId="4" fillId="11" borderId="1" xfId="0" applyNumberFormat="1" applyFont="1" applyFill="1" applyBorder="1" applyAlignment="1">
      <alignment horizontal="center" vertical="center" wrapText="1"/>
    </xf>
    <xf numFmtId="0" fontId="4" fillId="11" borderId="1" xfId="0" applyFont="1" applyFill="1" applyBorder="1" applyAlignment="1">
      <alignment horizontal="center" vertical="center"/>
    </xf>
    <xf numFmtId="177" fontId="4" fillId="11" borderId="2" xfId="0" applyNumberFormat="1" applyFont="1" applyFill="1" applyBorder="1" applyAlignment="1">
      <alignment vertical="center"/>
    </xf>
    <xf numFmtId="3" fontId="4" fillId="0" borderId="13" xfId="0" applyNumberFormat="1" applyFont="1" applyFill="1" applyBorder="1" applyAlignment="1">
      <alignment horizontal="center" vertical="center"/>
    </xf>
    <xf numFmtId="3" fontId="3" fillId="12" borderId="21" xfId="0" applyNumberFormat="1" applyFont="1" applyFill="1" applyBorder="1" applyAlignment="1">
      <alignment horizontal="center" vertical="center" wrapText="1"/>
    </xf>
    <xf numFmtId="3" fontId="3" fillId="12" borderId="20" xfId="0" applyNumberFormat="1" applyFont="1" applyFill="1" applyBorder="1" applyAlignment="1">
      <alignment horizontal="center" vertical="center" wrapText="1"/>
    </xf>
    <xf numFmtId="3" fontId="3" fillId="12" borderId="1" xfId="0" applyNumberFormat="1" applyFont="1" applyFill="1" applyBorder="1" applyAlignment="1">
      <alignment horizontal="center" vertical="center" wrapText="1"/>
    </xf>
    <xf numFmtId="3" fontId="3" fillId="12" borderId="2" xfId="0" applyNumberFormat="1" applyFont="1" applyFill="1" applyBorder="1" applyAlignment="1">
      <alignment horizontal="center" vertical="center" wrapText="1"/>
    </xf>
    <xf numFmtId="3" fontId="3" fillId="0" borderId="15" xfId="0" applyNumberFormat="1" applyFont="1" applyFill="1" applyBorder="1" applyAlignment="1">
      <alignment horizontal="center" vertical="center"/>
    </xf>
    <xf numFmtId="3" fontId="3" fillId="0" borderId="7" xfId="0" applyNumberFormat="1" applyFont="1" applyFill="1" applyBorder="1" applyAlignment="1">
      <alignment horizontal="center" vertical="center"/>
    </xf>
    <xf numFmtId="3" fontId="4" fillId="0" borderId="3" xfId="0" applyNumberFormat="1" applyFont="1" applyFill="1" applyBorder="1" applyAlignment="1" applyProtection="1">
      <alignment horizontal="left" vertical="center" wrapText="1"/>
      <protection locked="0"/>
    </xf>
    <xf numFmtId="3" fontId="4" fillId="0" borderId="11" xfId="0" applyNumberFormat="1" applyFont="1" applyFill="1" applyBorder="1" applyAlignment="1" applyProtection="1">
      <alignment horizontal="left" vertical="center" wrapText="1"/>
      <protection locked="0"/>
    </xf>
    <xf numFmtId="3" fontId="4" fillId="0" borderId="38" xfId="0" applyNumberFormat="1" applyFont="1" applyFill="1" applyBorder="1" applyAlignment="1" applyProtection="1">
      <alignment horizontal="left" vertical="center" wrapText="1"/>
      <protection locked="0"/>
    </xf>
    <xf numFmtId="3" fontId="4" fillId="0" borderId="3" xfId="0" applyNumberFormat="1" applyFont="1" applyFill="1" applyBorder="1" applyAlignment="1">
      <alignment horizontal="left" vertical="center" wrapText="1"/>
    </xf>
    <xf numFmtId="3" fontId="4" fillId="0" borderId="11" xfId="0" applyNumberFormat="1" applyFont="1" applyFill="1" applyBorder="1" applyAlignment="1">
      <alignment horizontal="left" vertical="center" wrapText="1"/>
    </xf>
    <xf numFmtId="3" fontId="4" fillId="0" borderId="38" xfId="0" applyNumberFormat="1" applyFont="1" applyFill="1" applyBorder="1" applyAlignment="1">
      <alignment horizontal="left" vertical="center" wrapText="1"/>
    </xf>
    <xf numFmtId="3" fontId="3" fillId="12" borderId="1" xfId="0" applyNumberFormat="1" applyFont="1" applyFill="1" applyBorder="1" applyAlignment="1">
      <alignment horizontal="center"/>
    </xf>
    <xf numFmtId="3" fontId="3" fillId="12" borderId="2" xfId="0" applyNumberFormat="1" applyFont="1" applyFill="1" applyBorder="1" applyAlignment="1">
      <alignment horizontal="center"/>
    </xf>
    <xf numFmtId="3" fontId="3" fillId="0" borderId="13" xfId="0" applyNumberFormat="1" applyFont="1" applyFill="1" applyBorder="1" applyAlignment="1">
      <alignment horizontal="center" vertical="center"/>
    </xf>
    <xf numFmtId="3" fontId="3" fillId="12" borderId="52" xfId="0" applyNumberFormat="1" applyFont="1" applyFill="1" applyBorder="1" applyAlignment="1">
      <alignment horizontal="center" vertical="center"/>
    </xf>
    <xf numFmtId="3" fontId="3" fillId="12" borderId="41" xfId="0" applyNumberFormat="1" applyFont="1" applyFill="1" applyBorder="1" applyAlignment="1">
      <alignment horizontal="center" vertical="center"/>
    </xf>
    <xf numFmtId="3" fontId="3" fillId="12" borderId="53" xfId="0" applyNumberFormat="1" applyFont="1" applyFill="1" applyBorder="1" applyAlignment="1">
      <alignment horizontal="center" vertical="center"/>
    </xf>
    <xf numFmtId="3" fontId="3" fillId="12" borderId="1" xfId="0" applyNumberFormat="1" applyFont="1" applyFill="1" applyBorder="1" applyAlignment="1">
      <alignment horizontal="center" vertical="center"/>
    </xf>
    <xf numFmtId="3" fontId="3" fillId="12" borderId="2" xfId="0" applyNumberFormat="1" applyFont="1" applyFill="1" applyBorder="1" applyAlignment="1">
      <alignment horizontal="center" vertical="center"/>
    </xf>
    <xf numFmtId="3" fontId="4" fillId="0" borderId="24" xfId="0" applyNumberFormat="1" applyFont="1" applyFill="1" applyBorder="1" applyAlignment="1">
      <alignment horizontal="left" vertical="center" wrapText="1"/>
    </xf>
    <xf numFmtId="3" fontId="4" fillId="0" borderId="12" xfId="0" applyNumberFormat="1" applyFont="1" applyFill="1" applyBorder="1" applyAlignment="1">
      <alignment horizontal="left" vertical="center" wrapText="1"/>
    </xf>
    <xf numFmtId="3" fontId="4" fillId="0" borderId="39" xfId="0" applyNumberFormat="1" applyFont="1" applyFill="1" applyBorder="1" applyAlignment="1">
      <alignment horizontal="left" vertical="center" wrapText="1"/>
    </xf>
    <xf numFmtId="3" fontId="3" fillId="11" borderId="2" xfId="0" applyNumberFormat="1" applyFont="1" applyFill="1" applyBorder="1" applyAlignment="1">
      <alignment horizontal="center" vertical="center" wrapText="1"/>
    </xf>
    <xf numFmtId="3" fontId="4" fillId="11" borderId="2" xfId="0" applyNumberFormat="1" applyFont="1" applyFill="1" applyBorder="1" applyAlignment="1">
      <alignment horizontal="left" vertical="center"/>
    </xf>
    <xf numFmtId="3" fontId="4" fillId="11" borderId="6" xfId="0" applyNumberFormat="1" applyFont="1" applyFill="1" applyBorder="1" applyAlignment="1">
      <alignment horizontal="left" vertical="center"/>
    </xf>
    <xf numFmtId="3" fontId="3" fillId="11" borderId="1" xfId="0" applyNumberFormat="1" applyFont="1" applyFill="1" applyBorder="1" applyAlignment="1">
      <alignment horizontal="center" vertical="center" wrapText="1"/>
    </xf>
    <xf numFmtId="3" fontId="3" fillId="11" borderId="1" xfId="0" applyNumberFormat="1" applyFont="1" applyFill="1" applyBorder="1" applyAlignment="1">
      <alignment horizontal="center" vertical="center"/>
    </xf>
    <xf numFmtId="3" fontId="4" fillId="11" borderId="2" xfId="0" applyNumberFormat="1" applyFont="1" applyFill="1" applyBorder="1" applyAlignment="1">
      <alignment horizontal="left" vertical="center" wrapText="1"/>
    </xf>
    <xf numFmtId="3" fontId="4" fillId="11" borderId="6" xfId="0" applyNumberFormat="1" applyFont="1" applyFill="1" applyBorder="1" applyAlignment="1">
      <alignment horizontal="left" vertical="center" wrapText="1"/>
    </xf>
    <xf numFmtId="3" fontId="4" fillId="11" borderId="20" xfId="0" applyNumberFormat="1" applyFont="1" applyFill="1" applyBorder="1" applyAlignment="1">
      <alignment horizontal="left" vertical="center"/>
    </xf>
    <xf numFmtId="3" fontId="4" fillId="11" borderId="22" xfId="0" applyNumberFormat="1" applyFont="1" applyFill="1" applyBorder="1" applyAlignment="1">
      <alignment horizontal="left" vertical="center"/>
    </xf>
    <xf numFmtId="3" fontId="3" fillId="11" borderId="8" xfId="0" applyNumberFormat="1" applyFont="1" applyFill="1" applyBorder="1" applyAlignment="1">
      <alignment horizontal="center" vertical="center"/>
    </xf>
    <xf numFmtId="3" fontId="3" fillId="11" borderId="23" xfId="0" applyNumberFormat="1" applyFont="1" applyFill="1" applyBorder="1" applyAlignment="1">
      <alignment horizontal="center" vertical="center"/>
    </xf>
    <xf numFmtId="177" fontId="4" fillId="11" borderId="2" xfId="0" applyNumberFormat="1" applyFont="1" applyFill="1" applyBorder="1" applyAlignment="1">
      <alignment horizontal="center" vertical="center"/>
    </xf>
    <xf numFmtId="3" fontId="4" fillId="11" borderId="6" xfId="0" applyNumberFormat="1" applyFont="1" applyFill="1" applyBorder="1" applyAlignment="1">
      <alignment horizontal="center" vertical="center"/>
    </xf>
    <xf numFmtId="3" fontId="3" fillId="0" borderId="2" xfId="0" applyNumberFormat="1" applyFont="1" applyFill="1" applyBorder="1" applyAlignment="1" applyProtection="1">
      <alignment horizontal="center" vertical="center" wrapText="1"/>
      <protection locked="0"/>
    </xf>
    <xf numFmtId="3" fontId="3" fillId="0" borderId="2" xfId="0" applyNumberFormat="1" applyFont="1" applyFill="1" applyBorder="1" applyAlignment="1" applyProtection="1">
      <alignment horizontal="left" vertical="center" wrapText="1"/>
      <protection locked="0"/>
    </xf>
    <xf numFmtId="31" fontId="4" fillId="0" borderId="2" xfId="0" applyNumberFormat="1" applyFont="1" applyFill="1" applyBorder="1" applyAlignment="1" applyProtection="1">
      <alignment horizontal="left" vertical="center" wrapText="1"/>
      <protection locked="0"/>
    </xf>
    <xf numFmtId="3" fontId="4" fillId="0" borderId="2" xfId="0" applyNumberFormat="1" applyFont="1" applyFill="1" applyBorder="1" applyAlignment="1" applyProtection="1">
      <alignment horizontal="left" vertical="center" wrapText="1"/>
      <protection locked="0"/>
    </xf>
    <xf numFmtId="3" fontId="3" fillId="0" borderId="2" xfId="0" applyNumberFormat="1" applyFont="1" applyFill="1" applyBorder="1" applyAlignment="1" applyProtection="1">
      <alignment horizontal="center" vertical="center"/>
      <protection locked="0"/>
    </xf>
    <xf numFmtId="0" fontId="4" fillId="0" borderId="2" xfId="0" applyFont="1" applyFill="1" applyBorder="1" applyAlignment="1">
      <alignment horizontal="left" vertical="center"/>
    </xf>
    <xf numFmtId="3" fontId="3" fillId="0" borderId="2" xfId="0" applyNumberFormat="1" applyFont="1" applyFill="1" applyBorder="1" applyAlignment="1" applyProtection="1">
      <alignment horizontal="center" vertical="center"/>
    </xf>
    <xf numFmtId="3" fontId="4" fillId="0" borderId="2" xfId="0" applyNumberFormat="1" applyFont="1" applyFill="1" applyBorder="1" applyAlignment="1" applyProtection="1">
      <alignment horizontal="center" vertical="center"/>
      <protection locked="0"/>
    </xf>
    <xf numFmtId="49" fontId="4" fillId="0" borderId="2" xfId="0" applyNumberFormat="1" applyFont="1" applyFill="1" applyBorder="1" applyAlignment="1" applyProtection="1">
      <alignment horizontal="left" vertical="center" wrapText="1"/>
      <protection locked="0"/>
    </xf>
    <xf numFmtId="0" fontId="4" fillId="0" borderId="2" xfId="0" applyFont="1" applyFill="1" applyBorder="1" applyAlignment="1">
      <alignment vertical="center"/>
    </xf>
    <xf numFmtId="0" fontId="4" fillId="0" borderId="2" xfId="0" applyFont="1" applyFill="1" applyBorder="1" applyAlignment="1" applyProtection="1">
      <alignment horizontal="left" vertical="center"/>
      <protection locked="0"/>
    </xf>
    <xf numFmtId="0" fontId="4" fillId="0" borderId="17" xfId="0" applyFont="1" applyFill="1" applyBorder="1" applyAlignment="1">
      <alignment vertical="center"/>
    </xf>
    <xf numFmtId="0" fontId="3" fillId="0" borderId="2" xfId="0" applyNumberFormat="1" applyFont="1" applyFill="1" applyBorder="1" applyAlignment="1">
      <alignment horizontal="center" wrapText="1"/>
    </xf>
    <xf numFmtId="10" fontId="4" fillId="0" borderId="17" xfId="0" applyNumberFormat="1" applyFont="1" applyFill="1" applyBorder="1" applyAlignment="1">
      <alignment horizontal="left" vertical="center"/>
    </xf>
    <xf numFmtId="0" fontId="4" fillId="0" borderId="17" xfId="0" applyFont="1" applyFill="1" applyBorder="1" applyAlignment="1">
      <alignment horizontal="left" vertical="center"/>
    </xf>
    <xf numFmtId="10" fontId="4" fillId="0" borderId="17" xfId="0" applyNumberFormat="1" applyFont="1" applyFill="1" applyBorder="1" applyAlignment="1">
      <alignment vertical="center"/>
    </xf>
    <xf numFmtId="3" fontId="4" fillId="0" borderId="2" xfId="0" applyNumberFormat="1" applyFont="1" applyFill="1" applyBorder="1" applyAlignment="1">
      <alignment horizontal="left" vertical="top" wrapText="1"/>
    </xf>
    <xf numFmtId="3" fontId="3" fillId="0" borderId="2" xfId="0" applyNumberFormat="1" applyFont="1" applyFill="1" applyBorder="1" applyAlignment="1">
      <alignment horizontal="center" vertical="top" wrapText="1"/>
    </xf>
    <xf numFmtId="0" fontId="4" fillId="0" borderId="2" xfId="0" applyNumberFormat="1" applyFont="1" applyFill="1" applyBorder="1" applyAlignment="1">
      <alignment horizontal="left" vertical="center" wrapText="1"/>
    </xf>
    <xf numFmtId="10" fontId="4" fillId="0" borderId="2" xfId="0" applyNumberFormat="1" applyFont="1" applyFill="1" applyBorder="1" applyAlignment="1">
      <alignment vertical="center"/>
    </xf>
    <xf numFmtId="188" fontId="4" fillId="0" borderId="2" xfId="0" applyNumberFormat="1" applyFont="1" applyFill="1" applyBorder="1" applyAlignment="1">
      <alignment horizontal="left" vertical="center"/>
    </xf>
    <xf numFmtId="176" fontId="3" fillId="0" borderId="2" xfId="0" applyNumberFormat="1" applyFont="1" applyFill="1" applyBorder="1" applyAlignment="1">
      <alignment horizontal="center" vertical="center" wrapText="1"/>
    </xf>
    <xf numFmtId="3" fontId="4" fillId="0" borderId="2" xfId="0" applyNumberFormat="1" applyFont="1" applyFill="1" applyBorder="1" applyAlignment="1">
      <alignment horizontal="left" vertical="center"/>
    </xf>
    <xf numFmtId="176" fontId="4" fillId="0" borderId="2" xfId="0" applyNumberFormat="1" applyFont="1" applyFill="1" applyBorder="1" applyAlignment="1">
      <alignment horizontal="center" vertical="center" wrapText="1"/>
    </xf>
    <xf numFmtId="0" fontId="3" fillId="0" borderId="2" xfId="0" applyFont="1" applyFill="1" applyBorder="1" applyAlignment="1">
      <alignment horizontal="center" vertical="center"/>
    </xf>
    <xf numFmtId="3" fontId="4" fillId="0" borderId="6" xfId="0" applyNumberFormat="1" applyFont="1" applyFill="1" applyBorder="1" applyAlignment="1">
      <alignment horizontal="center" vertical="center"/>
    </xf>
    <xf numFmtId="3" fontId="4" fillId="0" borderId="6" xfId="0" applyNumberFormat="1" applyFont="1" applyFill="1" applyBorder="1" applyAlignment="1">
      <alignment horizontal="left" vertical="center" wrapText="1"/>
    </xf>
    <xf numFmtId="3" fontId="4" fillId="0" borderId="20" xfId="0" applyNumberFormat="1" applyFont="1" applyFill="1" applyBorder="1" applyAlignment="1">
      <alignment horizontal="left" vertical="center" wrapText="1"/>
    </xf>
    <xf numFmtId="3" fontId="4" fillId="0" borderId="22" xfId="0" applyNumberFormat="1" applyFont="1" applyFill="1" applyBorder="1" applyAlignment="1">
      <alignment horizontal="left" vertical="center" wrapText="1"/>
    </xf>
    <xf numFmtId="3" fontId="3" fillId="0" borderId="6" xfId="0" applyNumberFormat="1" applyFont="1" applyFill="1" applyBorder="1" applyAlignment="1">
      <alignment horizontal="center" vertical="center"/>
    </xf>
    <xf numFmtId="3" fontId="3" fillId="0" borderId="8" xfId="0" applyNumberFormat="1" applyFont="1" applyFill="1" applyBorder="1" applyAlignment="1">
      <alignment horizontal="center" vertical="center"/>
    </xf>
    <xf numFmtId="3" fontId="3" fillId="0" borderId="17" xfId="0" applyNumberFormat="1" applyFont="1" applyFill="1" applyBorder="1" applyAlignment="1">
      <alignment horizontal="center" vertical="center"/>
    </xf>
    <xf numFmtId="3" fontId="3" fillId="0" borderId="23" xfId="0" applyNumberFormat="1" applyFont="1" applyFill="1" applyBorder="1" applyAlignment="1">
      <alignment horizontal="center" vertical="center"/>
    </xf>
    <xf numFmtId="179" fontId="4" fillId="11" borderId="16" xfId="0" applyNumberFormat="1" applyFont="1" applyFill="1" applyBorder="1" applyAlignment="1">
      <alignment horizontal="center" vertical="center"/>
    </xf>
    <xf numFmtId="179" fontId="4" fillId="11" borderId="23" xfId="0" applyNumberFormat="1" applyFont="1" applyFill="1" applyBorder="1" applyAlignment="1">
      <alignment horizontal="center" vertical="center"/>
    </xf>
    <xf numFmtId="3" fontId="3" fillId="0" borderId="1" xfId="0" applyNumberFormat="1" applyFont="1" applyFill="1" applyBorder="1" applyAlignment="1">
      <alignment horizontal="left" vertical="center"/>
    </xf>
    <xf numFmtId="3" fontId="3" fillId="0" borderId="21" xfId="0" applyNumberFormat="1" applyFont="1" applyFill="1" applyBorder="1" applyAlignment="1">
      <alignment horizontal="left" vertical="center"/>
    </xf>
    <xf numFmtId="3" fontId="3" fillId="0" borderId="1" xfId="0" applyNumberFormat="1" applyFont="1" applyFill="1" applyBorder="1" applyAlignment="1">
      <alignment vertical="center" wrapText="1"/>
    </xf>
    <xf numFmtId="3" fontId="3" fillId="0" borderId="42" xfId="0" applyNumberFormat="1" applyFont="1" applyFill="1" applyBorder="1" applyAlignment="1">
      <alignment horizontal="center" vertical="center" wrapText="1"/>
    </xf>
    <xf numFmtId="3" fontId="3" fillId="0" borderId="25" xfId="0" applyNumberFormat="1" applyFont="1" applyFill="1" applyBorder="1" applyAlignment="1">
      <alignment horizontal="center" vertical="center" wrapText="1"/>
    </xf>
    <xf numFmtId="3" fontId="3" fillId="0" borderId="40" xfId="0" applyNumberFormat="1" applyFont="1" applyFill="1" applyBorder="1" applyAlignment="1">
      <alignment horizontal="center" vertical="center" wrapText="1"/>
    </xf>
    <xf numFmtId="3" fontId="3" fillId="11" borderId="6" xfId="0" applyNumberFormat="1" applyFont="1" applyFill="1" applyBorder="1" applyAlignment="1">
      <alignment horizontal="center" vertical="center" wrapText="1"/>
    </xf>
    <xf numFmtId="3" fontId="3" fillId="11" borderId="1" xfId="0" applyNumberFormat="1" applyFont="1" applyFill="1" applyBorder="1" applyAlignment="1">
      <alignment horizontal="left" vertical="center" wrapText="1"/>
    </xf>
    <xf numFmtId="3" fontId="3" fillId="11" borderId="1" xfId="0" applyNumberFormat="1" applyFont="1" applyFill="1" applyBorder="1" applyAlignment="1">
      <alignment horizontal="left" vertical="center"/>
    </xf>
    <xf numFmtId="3" fontId="4" fillId="11" borderId="20" xfId="0" applyNumberFormat="1" applyFont="1" applyFill="1" applyBorder="1" applyAlignment="1">
      <alignment horizontal="left" vertical="center" wrapText="1"/>
    </xf>
    <xf numFmtId="3" fontId="4" fillId="11" borderId="22" xfId="0" applyNumberFormat="1" applyFont="1" applyFill="1" applyBorder="1" applyAlignment="1">
      <alignment horizontal="left" vertical="center" wrapText="1"/>
    </xf>
    <xf numFmtId="3" fontId="3" fillId="11" borderId="21" xfId="0" applyNumberFormat="1" applyFont="1" applyFill="1" applyBorder="1" applyAlignment="1">
      <alignment horizontal="center" vertical="center" wrapText="1"/>
    </xf>
    <xf numFmtId="3" fontId="3" fillId="0" borderId="20" xfId="0" applyNumberFormat="1" applyFont="1" applyFill="1" applyBorder="1" applyAlignment="1">
      <alignment horizontal="center" vertical="center"/>
    </xf>
    <xf numFmtId="3" fontId="3" fillId="11" borderId="6" xfId="0" applyNumberFormat="1" applyFont="1" applyFill="1" applyBorder="1" applyAlignment="1">
      <alignment horizontal="center" vertical="center"/>
    </xf>
    <xf numFmtId="3" fontId="4" fillId="11" borderId="14" xfId="0" applyNumberFormat="1" applyFont="1" applyFill="1" applyBorder="1" applyAlignment="1">
      <alignment horizontal="left" vertical="center" wrapText="1"/>
    </xf>
    <xf numFmtId="3" fontId="4" fillId="11" borderId="0" xfId="0" applyNumberFormat="1" applyFont="1" applyFill="1" applyBorder="1" applyAlignment="1">
      <alignment horizontal="left" vertical="center" wrapText="1"/>
    </xf>
    <xf numFmtId="3" fontId="4" fillId="11" borderId="58" xfId="0" applyNumberFormat="1" applyFont="1" applyFill="1" applyBorder="1" applyAlignment="1">
      <alignment horizontal="left" vertical="center" wrapText="1"/>
    </xf>
    <xf numFmtId="3" fontId="3" fillId="11" borderId="30" xfId="0" applyNumberFormat="1" applyFont="1" applyFill="1" applyBorder="1" applyAlignment="1">
      <alignment horizontal="center" vertical="center"/>
    </xf>
    <xf numFmtId="3" fontId="3" fillId="11" borderId="31" xfId="0" applyNumberFormat="1" applyFont="1" applyFill="1" applyBorder="1" applyAlignment="1">
      <alignment horizontal="center" vertical="center"/>
    </xf>
    <xf numFmtId="3" fontId="3" fillId="11" borderId="32" xfId="0" applyNumberFormat="1" applyFont="1" applyFill="1" applyBorder="1" applyAlignment="1">
      <alignment horizontal="center" vertical="center"/>
    </xf>
    <xf numFmtId="3" fontId="3" fillId="0" borderId="15" xfId="0" applyNumberFormat="1" applyFont="1" applyFill="1" applyBorder="1" applyAlignment="1">
      <alignment horizontal="center" vertical="center" wrapText="1"/>
    </xf>
    <xf numFmtId="3" fontId="3" fillId="0" borderId="8" xfId="0" applyNumberFormat="1" applyFont="1" applyFill="1" applyBorder="1" applyAlignment="1">
      <alignment horizontal="center" vertical="center" wrapText="1"/>
    </xf>
    <xf numFmtId="3" fontId="3" fillId="0" borderId="26" xfId="0" applyNumberFormat="1" applyFont="1" applyFill="1" applyBorder="1" applyAlignment="1">
      <alignment horizontal="left" vertical="center"/>
    </xf>
    <xf numFmtId="3" fontId="3" fillId="0" borderId="10" xfId="0" applyNumberFormat="1" applyFont="1" applyFill="1" applyBorder="1" applyAlignment="1">
      <alignment horizontal="left" vertical="center"/>
    </xf>
    <xf numFmtId="3" fontId="3" fillId="0" borderId="42" xfId="0" applyNumberFormat="1" applyFont="1" applyFill="1" applyBorder="1" applyAlignment="1">
      <alignment horizontal="center" vertical="center"/>
    </xf>
    <xf numFmtId="3" fontId="3" fillId="0" borderId="25" xfId="0" applyNumberFormat="1" applyFont="1" applyFill="1" applyBorder="1" applyAlignment="1">
      <alignment horizontal="center" vertical="center"/>
    </xf>
    <xf numFmtId="3" fontId="3" fillId="0" borderId="40" xfId="0" applyNumberFormat="1" applyFont="1" applyFill="1" applyBorder="1" applyAlignment="1">
      <alignment horizontal="center" vertical="center"/>
    </xf>
    <xf numFmtId="3" fontId="3" fillId="0" borderId="48" xfId="0" applyNumberFormat="1" applyFont="1" applyFill="1" applyBorder="1" applyAlignment="1">
      <alignment horizontal="left" vertical="center"/>
    </xf>
    <xf numFmtId="3" fontId="3" fillId="0" borderId="12" xfId="0" applyNumberFormat="1" applyFont="1" applyFill="1" applyBorder="1" applyAlignment="1">
      <alignment horizontal="left" vertical="center"/>
    </xf>
    <xf numFmtId="3" fontId="3" fillId="0" borderId="39" xfId="0" applyNumberFormat="1" applyFont="1" applyFill="1" applyBorder="1" applyAlignment="1">
      <alignment horizontal="left" vertical="center"/>
    </xf>
    <xf numFmtId="3" fontId="3" fillId="0" borderId="49" xfId="0" applyNumberFormat="1" applyFont="1" applyFill="1" applyBorder="1" applyAlignment="1">
      <alignment horizontal="left" vertical="center"/>
    </xf>
    <xf numFmtId="3" fontId="3" fillId="0" borderId="46" xfId="0" applyNumberFormat="1" applyFont="1" applyFill="1" applyBorder="1" applyAlignment="1">
      <alignment horizontal="left" vertical="center"/>
    </xf>
    <xf numFmtId="3" fontId="3" fillId="0" borderId="47" xfId="0" applyNumberFormat="1" applyFont="1" applyFill="1" applyBorder="1" applyAlignment="1">
      <alignment horizontal="left" vertical="center"/>
    </xf>
    <xf numFmtId="3" fontId="4" fillId="0" borderId="3" xfId="0" applyNumberFormat="1" applyFont="1" applyFill="1" applyBorder="1" applyAlignment="1">
      <alignment horizontal="left" vertical="center"/>
    </xf>
    <xf numFmtId="3" fontId="4" fillId="0" borderId="11" xfId="0" applyNumberFormat="1" applyFont="1" applyFill="1" applyBorder="1" applyAlignment="1">
      <alignment horizontal="left" vertical="center"/>
    </xf>
    <xf numFmtId="3" fontId="4" fillId="0" borderId="38" xfId="0" applyNumberFormat="1" applyFont="1" applyFill="1" applyBorder="1" applyAlignment="1">
      <alignment horizontal="left" vertical="center"/>
    </xf>
    <xf numFmtId="3" fontId="3" fillId="0" borderId="43" xfId="0" applyNumberFormat="1" applyFont="1" applyFill="1" applyBorder="1" applyAlignment="1" applyProtection="1">
      <alignment horizontal="center" vertical="center" wrapText="1"/>
      <protection locked="0"/>
    </xf>
    <xf numFmtId="3" fontId="3" fillId="0" borderId="44" xfId="0" applyNumberFormat="1" applyFont="1" applyFill="1" applyBorder="1" applyAlignment="1" applyProtection="1">
      <alignment horizontal="center" vertical="center" wrapText="1"/>
      <protection locked="0"/>
    </xf>
    <xf numFmtId="3" fontId="3" fillId="0" borderId="45" xfId="0" applyNumberFormat="1" applyFont="1" applyFill="1" applyBorder="1" applyAlignment="1" applyProtection="1">
      <alignment horizontal="center" vertical="center" wrapText="1"/>
      <protection locked="0"/>
    </xf>
    <xf numFmtId="3" fontId="4" fillId="0" borderId="9" xfId="0" applyNumberFormat="1" applyFont="1" applyFill="1" applyBorder="1" applyAlignment="1">
      <alignment horizontal="left" vertical="center"/>
    </xf>
    <xf numFmtId="176" fontId="4" fillId="11" borderId="2" xfId="0" applyNumberFormat="1" applyFont="1" applyFill="1" applyBorder="1" applyAlignment="1">
      <alignment horizontal="left" vertical="center" wrapText="1"/>
    </xf>
    <xf numFmtId="176" fontId="4" fillId="11" borderId="6" xfId="0" applyNumberFormat="1" applyFont="1" applyFill="1" applyBorder="1" applyAlignment="1">
      <alignment horizontal="left" vertical="center" wrapText="1"/>
    </xf>
    <xf numFmtId="176" fontId="4" fillId="11" borderId="20" xfId="0" applyNumberFormat="1" applyFont="1" applyFill="1" applyBorder="1" applyAlignment="1">
      <alignment horizontal="left" vertical="center" wrapText="1"/>
    </xf>
    <xf numFmtId="176" fontId="4" fillId="11" borderId="22" xfId="0" applyNumberFormat="1" applyFont="1" applyFill="1" applyBorder="1" applyAlignment="1">
      <alignment horizontal="left" vertical="center" wrapText="1"/>
    </xf>
    <xf numFmtId="3" fontId="3" fillId="0" borderId="34" xfId="0" applyNumberFormat="1" applyFont="1" applyFill="1" applyBorder="1" applyAlignment="1">
      <alignment horizontal="center" vertical="center" wrapText="1"/>
    </xf>
    <xf numFmtId="3" fontId="3" fillId="0" borderId="11" xfId="0" applyNumberFormat="1" applyFont="1" applyFill="1" applyBorder="1" applyAlignment="1">
      <alignment horizontal="center" vertical="center" wrapText="1"/>
    </xf>
    <xf numFmtId="3" fontId="3" fillId="0" borderId="38" xfId="0" applyNumberFormat="1" applyFont="1" applyFill="1" applyBorder="1" applyAlignment="1">
      <alignment horizontal="center" vertical="center" wrapText="1"/>
    </xf>
    <xf numFmtId="3" fontId="4" fillId="0" borderId="2" xfId="0" applyNumberFormat="1" applyFont="1" applyBorder="1" applyAlignment="1" applyProtection="1">
      <alignment horizontal="center" vertical="center"/>
      <protection locked="0"/>
    </xf>
    <xf numFmtId="3" fontId="4" fillId="0" borderId="6" xfId="0" applyNumberFormat="1" applyFont="1" applyBorder="1" applyAlignment="1" applyProtection="1">
      <alignment horizontal="center" vertical="center"/>
      <protection locked="0"/>
    </xf>
    <xf numFmtId="3" fontId="4" fillId="0" borderId="2" xfId="0" applyNumberFormat="1" applyFont="1" applyBorder="1" applyAlignment="1">
      <alignment horizontal="left" wrapText="1"/>
    </xf>
    <xf numFmtId="3" fontId="4" fillId="0" borderId="2" xfId="0" applyNumberFormat="1" applyFont="1" applyBorder="1" applyAlignment="1">
      <alignment horizontal="center"/>
    </xf>
    <xf numFmtId="3" fontId="4" fillId="0" borderId="6" xfId="0" applyNumberFormat="1" applyFont="1" applyBorder="1" applyAlignment="1">
      <alignment horizontal="center"/>
    </xf>
    <xf numFmtId="3" fontId="4" fillId="0" borderId="3" xfId="0" applyNumberFormat="1" applyFont="1" applyBorder="1" applyAlignment="1">
      <alignment horizontal="center" wrapText="1"/>
    </xf>
    <xf numFmtId="3" fontId="4" fillId="0" borderId="9" xfId="0" applyNumberFormat="1" applyFont="1" applyBorder="1" applyAlignment="1">
      <alignment horizontal="center" wrapText="1"/>
    </xf>
    <xf numFmtId="3" fontId="4" fillId="3" borderId="2" xfId="0" applyNumberFormat="1" applyFont="1" applyFill="1" applyBorder="1" applyAlignment="1" applyProtection="1">
      <alignment horizontal="center" vertical="center"/>
    </xf>
    <xf numFmtId="3" fontId="4" fillId="3" borderId="2" xfId="0" applyNumberFormat="1" applyFont="1" applyFill="1" applyBorder="1" applyAlignment="1" applyProtection="1">
      <alignment horizontal="center" vertical="center"/>
      <protection locked="0"/>
    </xf>
    <xf numFmtId="3" fontId="4" fillId="3" borderId="6" xfId="0" applyNumberFormat="1" applyFont="1" applyFill="1" applyBorder="1" applyAlignment="1" applyProtection="1">
      <alignment horizontal="center" vertical="center"/>
      <protection locked="0"/>
    </xf>
    <xf numFmtId="3" fontId="3" fillId="4" borderId="30" xfId="0" applyNumberFormat="1" applyFont="1" applyFill="1" applyBorder="1" applyAlignment="1" applyProtection="1">
      <alignment horizontal="center" vertical="center"/>
      <protection locked="0"/>
    </xf>
    <xf numFmtId="3" fontId="3" fillId="4" borderId="31" xfId="0" applyNumberFormat="1" applyFont="1" applyFill="1" applyBorder="1" applyAlignment="1" applyProtection="1">
      <alignment horizontal="center" vertical="center"/>
      <protection locked="0"/>
    </xf>
    <xf numFmtId="3" fontId="3" fillId="4" borderId="32" xfId="0" applyNumberFormat="1" applyFont="1" applyFill="1" applyBorder="1" applyAlignment="1" applyProtection="1">
      <alignment horizontal="center" vertical="center"/>
      <protection locked="0"/>
    </xf>
    <xf numFmtId="3" fontId="3" fillId="3" borderId="2" xfId="0" applyNumberFormat="1" applyFont="1" applyFill="1" applyBorder="1" applyAlignment="1" applyProtection="1">
      <alignment horizontal="center" vertical="center"/>
      <protection locked="0"/>
    </xf>
    <xf numFmtId="3" fontId="3" fillId="3" borderId="6" xfId="0" applyNumberFormat="1" applyFont="1" applyFill="1" applyBorder="1" applyAlignment="1" applyProtection="1">
      <alignment horizontal="center" vertical="center"/>
      <protection locked="0"/>
    </xf>
    <xf numFmtId="3" fontId="8" fillId="19" borderId="1" xfId="0" applyNumberFormat="1" applyFont="1" applyFill="1" applyBorder="1" applyAlignment="1">
      <alignment horizontal="left" vertical="center" wrapText="1"/>
    </xf>
    <xf numFmtId="3" fontId="8" fillId="19" borderId="21" xfId="0" applyNumberFormat="1" applyFont="1" applyFill="1" applyBorder="1" applyAlignment="1">
      <alignment horizontal="left" vertical="center" wrapText="1"/>
    </xf>
    <xf numFmtId="3" fontId="4" fillId="0" borderId="24" xfId="0" applyNumberFormat="1" applyFont="1" applyBorder="1" applyAlignment="1">
      <alignment horizontal="left" vertical="center" wrapText="1"/>
    </xf>
    <xf numFmtId="3" fontId="4" fillId="0" borderId="26" xfId="0" applyNumberFormat="1" applyFont="1" applyBorder="1" applyAlignment="1">
      <alignment horizontal="left" vertical="center" wrapText="1"/>
    </xf>
    <xf numFmtId="3" fontId="4" fillId="0" borderId="14" xfId="0" applyNumberFormat="1" applyFont="1" applyBorder="1" applyAlignment="1">
      <alignment horizontal="left" vertical="center" wrapText="1"/>
    </xf>
    <xf numFmtId="3" fontId="4" fillId="0" borderId="18" xfId="0" applyNumberFormat="1" applyFont="1" applyBorder="1" applyAlignment="1">
      <alignment horizontal="left" vertical="center" wrapText="1"/>
    </xf>
    <xf numFmtId="3" fontId="4" fillId="0" borderId="50" xfId="0" applyNumberFormat="1" applyFont="1" applyBorder="1" applyAlignment="1">
      <alignment horizontal="left" vertical="center" wrapText="1"/>
    </xf>
    <xf numFmtId="3" fontId="4" fillId="0" borderId="51" xfId="0" applyNumberFormat="1" applyFont="1" applyBorder="1" applyAlignment="1">
      <alignment horizontal="left" vertical="center" wrapText="1"/>
    </xf>
    <xf numFmtId="3" fontId="4" fillId="0" borderId="20" xfId="0" applyNumberFormat="1" applyFont="1" applyBorder="1" applyAlignment="1">
      <alignment horizontal="center"/>
    </xf>
    <xf numFmtId="3" fontId="4" fillId="0" borderId="22" xfId="0" applyNumberFormat="1" applyFont="1" applyBorder="1" applyAlignment="1">
      <alignment horizontal="center"/>
    </xf>
    <xf numFmtId="0" fontId="21" fillId="0" borderId="0" xfId="0" applyFont="1" applyAlignment="1" applyProtection="1">
      <alignment horizontal="center"/>
    </xf>
    <xf numFmtId="0" fontId="3" fillId="0" borderId="0" xfId="0" applyFont="1" applyAlignment="1" applyProtection="1">
      <alignment horizontal="center"/>
      <protection hidden="1"/>
    </xf>
    <xf numFmtId="0" fontId="4" fillId="0" borderId="54" xfId="0" applyFont="1" applyBorder="1" applyAlignment="1">
      <alignment horizontal="center"/>
    </xf>
    <xf numFmtId="0" fontId="4" fillId="0" borderId="55" xfId="0" applyFont="1" applyBorder="1" applyAlignment="1">
      <alignment horizontal="center"/>
    </xf>
    <xf numFmtId="0" fontId="4" fillId="0" borderId="56" xfId="0" applyFont="1" applyBorder="1" applyAlignment="1">
      <alignment horizontal="center"/>
    </xf>
    <xf numFmtId="0" fontId="4" fillId="0" borderId="2" xfId="0" applyFont="1" applyBorder="1" applyAlignment="1"/>
    <xf numFmtId="0" fontId="4" fillId="14" borderId="2" xfId="0" applyFont="1" applyFill="1" applyBorder="1" applyAlignment="1">
      <alignment horizontal="center"/>
    </xf>
    <xf numFmtId="0" fontId="20" fillId="0" borderId="2" xfId="0" applyFont="1" applyBorder="1" applyAlignment="1"/>
    <xf numFmtId="0" fontId="4" fillId="0" borderId="5" xfId="0" applyFont="1" applyBorder="1" applyAlignment="1"/>
    <xf numFmtId="0" fontId="20" fillId="0" borderId="5" xfId="0" applyFont="1" applyBorder="1" applyAlignment="1"/>
    <xf numFmtId="0" fontId="4" fillId="0" borderId="17" xfId="0" applyFont="1" applyBorder="1" applyAlignment="1"/>
    <xf numFmtId="0" fontId="4" fillId="0" borderId="3" xfId="0" applyFont="1" applyBorder="1" applyAlignment="1">
      <alignment horizontal="left"/>
    </xf>
    <xf numFmtId="0" fontId="4" fillId="0" borderId="11" xfId="0" applyFont="1" applyBorder="1" applyAlignment="1">
      <alignment horizontal="left"/>
    </xf>
    <xf numFmtId="0" fontId="4" fillId="0" borderId="9" xfId="0" applyFont="1" applyBorder="1" applyAlignment="1">
      <alignment horizontal="left"/>
    </xf>
    <xf numFmtId="0" fontId="4" fillId="0" borderId="2" xfId="0" applyFont="1" applyBorder="1" applyAlignment="1">
      <alignment horizontal="left"/>
    </xf>
    <xf numFmtId="0" fontId="3" fillId="0" borderId="0" xfId="0" applyFont="1" applyBorder="1" applyAlignment="1">
      <alignment horizontal="right"/>
    </xf>
    <xf numFmtId="0" fontId="4" fillId="0" borderId="3" xfId="0" applyFont="1" applyBorder="1" applyAlignment="1">
      <alignment horizontal="center"/>
    </xf>
    <xf numFmtId="0" fontId="4" fillId="0" borderId="11" xfId="0" applyFont="1" applyBorder="1" applyAlignment="1">
      <alignment horizontal="center"/>
    </xf>
    <xf numFmtId="0" fontId="4" fillId="0" borderId="9" xfId="0" applyFont="1" applyBorder="1" applyAlignment="1">
      <alignment horizontal="center"/>
    </xf>
    <xf numFmtId="0" fontId="4" fillId="0" borderId="17" xfId="0" applyFont="1" applyBorder="1" applyAlignment="1">
      <alignment horizontal="left"/>
    </xf>
    <xf numFmtId="0" fontId="4" fillId="0" borderId="2" xfId="0" applyFont="1" applyFill="1" applyBorder="1" applyAlignment="1">
      <alignment horizontal="left"/>
    </xf>
    <xf numFmtId="0" fontId="4" fillId="0" borderId="5" xfId="0" applyFont="1" applyBorder="1" applyAlignment="1">
      <alignment horizontal="left"/>
    </xf>
    <xf numFmtId="0" fontId="4" fillId="0" borderId="5" xfId="0" applyFont="1" applyFill="1" applyBorder="1" applyAlignment="1">
      <alignment horizontal="left"/>
    </xf>
    <xf numFmtId="3" fontId="24" fillId="0" borderId="35" xfId="0" applyNumberFormat="1" applyFont="1" applyFill="1" applyBorder="1" applyAlignment="1" applyProtection="1">
      <alignment horizontal="center" vertical="center" wrapText="1"/>
      <protection locked="0"/>
    </xf>
    <xf numFmtId="3" fontId="24" fillId="0" borderId="36" xfId="0" applyNumberFormat="1" applyFont="1" applyFill="1" applyBorder="1" applyAlignment="1" applyProtection="1">
      <alignment horizontal="center" vertical="center" wrapText="1"/>
      <protection locked="0"/>
    </xf>
    <xf numFmtId="3" fontId="24" fillId="0" borderId="37" xfId="0" applyNumberFormat="1" applyFont="1" applyFill="1" applyBorder="1" applyAlignment="1" applyProtection="1">
      <alignment horizontal="center" vertical="center" wrapText="1"/>
      <protection locked="0"/>
    </xf>
    <xf numFmtId="3" fontId="3" fillId="15" borderId="2" xfId="0" applyNumberFormat="1" applyFont="1" applyFill="1" applyBorder="1" applyAlignment="1">
      <alignment horizontal="left" vertical="center" wrapText="1"/>
    </xf>
    <xf numFmtId="185" fontId="3" fillId="15" borderId="2" xfId="0" applyNumberFormat="1" applyFont="1" applyFill="1" applyBorder="1" applyAlignment="1">
      <alignment horizontal="right" vertical="center"/>
    </xf>
    <xf numFmtId="10" fontId="3" fillId="15" borderId="2" xfId="0" applyNumberFormat="1" applyFont="1" applyFill="1" applyBorder="1" applyAlignment="1">
      <alignment horizontal="left" vertical="center" wrapText="1"/>
    </xf>
    <xf numFmtId="4" fontId="3" fillId="15" borderId="2" xfId="0" applyNumberFormat="1" applyFont="1" applyFill="1" applyBorder="1" applyAlignment="1">
      <alignment horizontal="right" vertical="center"/>
    </xf>
    <xf numFmtId="4" fontId="3" fillId="15" borderId="3" xfId="0" applyNumberFormat="1" applyFont="1" applyFill="1" applyBorder="1" applyAlignment="1">
      <alignment horizontal="right" vertical="center"/>
    </xf>
    <xf numFmtId="10" fontId="3" fillId="15" borderId="28" xfId="0" applyNumberFormat="1" applyFont="1" applyFill="1" applyBorder="1" applyAlignment="1">
      <alignment horizontal="left" vertical="center"/>
    </xf>
    <xf numFmtId="10" fontId="3" fillId="11" borderId="2" xfId="0" applyNumberFormat="1" applyFont="1" applyFill="1" applyBorder="1" applyAlignment="1">
      <alignment horizontal="left" vertical="center" wrapText="1"/>
    </xf>
    <xf numFmtId="10" fontId="4" fillId="11" borderId="2" xfId="0" applyNumberFormat="1" applyFont="1" applyFill="1" applyBorder="1" applyAlignment="1">
      <alignment horizontal="left" vertical="center" wrapText="1"/>
    </xf>
    <xf numFmtId="10" fontId="3" fillId="11" borderId="28" xfId="0" applyNumberFormat="1" applyFont="1" applyFill="1" applyBorder="1" applyAlignment="1">
      <alignment horizontal="left" vertical="center"/>
    </xf>
    <xf numFmtId="10" fontId="4" fillId="11" borderId="28" xfId="0" applyNumberFormat="1" applyFont="1" applyFill="1" applyBorder="1" applyAlignment="1">
      <alignment horizontal="left" vertical="center"/>
    </xf>
    <xf numFmtId="10" fontId="3" fillId="11" borderId="29" xfId="0" applyNumberFormat="1" applyFont="1" applyFill="1" applyBorder="1" applyAlignment="1">
      <alignment horizontal="left" vertical="center"/>
    </xf>
    <xf numFmtId="0" fontId="7" fillId="11" borderId="2" xfId="0" applyFont="1" applyFill="1" applyBorder="1" applyAlignment="1">
      <alignment horizontal="right" vertical="center" wrapText="1"/>
    </xf>
    <xf numFmtId="177" fontId="7" fillId="11" borderId="2" xfId="0" applyNumberFormat="1" applyFont="1" applyFill="1" applyBorder="1" applyAlignment="1">
      <alignment horizontal="right" vertical="center" wrapText="1"/>
    </xf>
    <xf numFmtId="0" fontId="7" fillId="11" borderId="2" xfId="0" applyFont="1" applyFill="1" applyBorder="1" applyAlignment="1">
      <alignment horizontal="left" vertical="center" wrapText="1"/>
    </xf>
    <xf numFmtId="179" fontId="7" fillId="11" borderId="2" xfId="0" applyNumberFormat="1" applyFont="1" applyFill="1" applyBorder="1" applyAlignment="1">
      <alignment horizontal="right" vertical="center" wrapText="1"/>
    </xf>
    <xf numFmtId="10" fontId="7" fillId="11" borderId="2" xfId="0" applyNumberFormat="1" applyFont="1" applyFill="1" applyBorder="1" applyAlignment="1">
      <alignment horizontal="right" vertical="center" wrapText="1"/>
    </xf>
    <xf numFmtId="178" fontId="7" fillId="11" borderId="2" xfId="0" applyNumberFormat="1" applyFont="1" applyFill="1" applyBorder="1" applyAlignment="1">
      <alignment horizontal="center" vertical="center" wrapText="1"/>
    </xf>
    <xf numFmtId="0" fontId="7" fillId="11" borderId="2" xfId="0" applyFont="1" applyFill="1" applyBorder="1" applyAlignment="1">
      <alignment horizontal="center" vertical="center" wrapText="1"/>
    </xf>
    <xf numFmtId="3" fontId="7" fillId="11" borderId="2" xfId="0" applyNumberFormat="1" applyFont="1" applyFill="1" applyBorder="1" applyAlignment="1">
      <alignment horizontal="center" vertical="center" wrapText="1"/>
    </xf>
    <xf numFmtId="10" fontId="7" fillId="11" borderId="2" xfId="0" applyNumberFormat="1" applyFont="1" applyFill="1" applyBorder="1" applyAlignment="1">
      <alignment horizontal="center" vertical="center" wrapText="1"/>
    </xf>
  </cellXfs>
  <cellStyles count="5">
    <cellStyle name="百分比" xfId="1" builtinId="5"/>
    <cellStyle name="常规" xfId="0" builtinId="0"/>
    <cellStyle name="常规_Sheet1" xfId="2"/>
    <cellStyle name="常规_河南工业大学-租金测算" xfId="3"/>
    <cellStyle name="千位分隔" xfId="4" builtinId="3"/>
  </cellStyles>
  <dxfs count="0"/>
  <tableStyles count="0" defaultTableStyle="TableStyleMedium9" defaultPivotStyle="PivotStyleLight16"/>
  <colors>
    <mruColors>
      <color rgb="FFFFFFCC"/>
      <color rgb="FFEAF0C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K53"/>
  <sheetViews>
    <sheetView workbookViewId="0">
      <selection activeCell="E25" sqref="E25"/>
    </sheetView>
  </sheetViews>
  <sheetFormatPr defaultRowHeight="12" x14ac:dyDescent="0.15"/>
  <cols>
    <col min="1" max="1" width="10.875" style="214" customWidth="1"/>
    <col min="2" max="2" width="17.875" style="214" bestFit="1" customWidth="1"/>
    <col min="3" max="3" width="10.5" style="214" bestFit="1" customWidth="1"/>
    <col min="4" max="4" width="14.125" style="214" bestFit="1" customWidth="1"/>
    <col min="5" max="5" width="12.25" style="214" bestFit="1" customWidth="1"/>
    <col min="6" max="7" width="11.625" style="214" bestFit="1" customWidth="1"/>
    <col min="8" max="8" width="12.875" style="214" bestFit="1" customWidth="1"/>
    <col min="9" max="9" width="11.25" style="214" bestFit="1" customWidth="1"/>
    <col min="10" max="10" width="8.5" style="214" bestFit="1" customWidth="1"/>
    <col min="11" max="11" width="7.125" style="214" bestFit="1" customWidth="1"/>
    <col min="12" max="16384" width="9" style="214"/>
  </cols>
  <sheetData>
    <row r="1" spans="1:11" ht="12.75" x14ac:dyDescent="0.15">
      <c r="A1" s="208"/>
      <c r="B1" s="226" t="s">
        <v>404</v>
      </c>
      <c r="C1" s="227">
        <v>53000000</v>
      </c>
      <c r="D1" s="228"/>
      <c r="E1" s="212"/>
      <c r="F1" s="213"/>
      <c r="G1" s="210"/>
      <c r="H1" s="211"/>
      <c r="I1" s="211"/>
      <c r="K1" s="211"/>
    </row>
    <row r="2" spans="1:11" ht="12.75" x14ac:dyDescent="0.15">
      <c r="A2" s="208"/>
      <c r="B2" s="226" t="s">
        <v>405</v>
      </c>
      <c r="C2" s="229">
        <f>C1*D2</f>
        <v>5830000</v>
      </c>
      <c r="D2" s="230">
        <v>0.11</v>
      </c>
      <c r="E2" s="210">
        <f>C1-C2</f>
        <v>47170000</v>
      </c>
      <c r="F2" s="213"/>
      <c r="G2" s="212"/>
      <c r="H2" s="211"/>
      <c r="I2" s="211"/>
      <c r="K2" s="211"/>
    </row>
    <row r="3" spans="1:11" ht="12.75" x14ac:dyDescent="0.15">
      <c r="A3" s="208"/>
      <c r="B3" s="226" t="s">
        <v>406</v>
      </c>
      <c r="C3" s="229">
        <f>C1*D3</f>
        <v>4240000</v>
      </c>
      <c r="D3" s="230">
        <v>0.08</v>
      </c>
      <c r="E3" s="209">
        <f>C1-C2-C3</f>
        <v>42930000</v>
      </c>
      <c r="F3" s="211"/>
      <c r="G3" s="212"/>
      <c r="H3" s="211">
        <f>23000*30%</f>
        <v>6900</v>
      </c>
      <c r="I3" s="211"/>
      <c r="K3" s="211"/>
    </row>
    <row r="4" spans="1:11" ht="12.75" x14ac:dyDescent="0.15">
      <c r="A4" s="208"/>
      <c r="B4" s="226" t="s">
        <v>407</v>
      </c>
      <c r="C4" s="229">
        <f>D4*C1</f>
        <v>0</v>
      </c>
      <c r="D4" s="230">
        <v>0</v>
      </c>
      <c r="E4" s="209"/>
      <c r="F4" s="215"/>
      <c r="G4" s="211"/>
      <c r="H4" s="211">
        <f>H3-2100</f>
        <v>4800</v>
      </c>
      <c r="I4" s="211"/>
      <c r="K4" s="211"/>
    </row>
    <row r="5" spans="1:11" ht="12.75" x14ac:dyDescent="0.15">
      <c r="A5" s="208"/>
      <c r="B5" s="231" t="s">
        <v>408</v>
      </c>
      <c r="C5" s="232">
        <f>D5/12</f>
        <v>5.1666666666666666E-3</v>
      </c>
      <c r="D5" s="233">
        <f>6.2%</f>
        <v>6.2E-2</v>
      </c>
      <c r="E5" s="215">
        <f>D5+D3/5</f>
        <v>7.8E-2</v>
      </c>
      <c r="F5" s="215">
        <f>E5/0.89</f>
        <v>8.7640449438202248E-2</v>
      </c>
      <c r="G5" s="211"/>
      <c r="H5" s="211"/>
      <c r="I5" s="211"/>
      <c r="K5" s="211"/>
    </row>
    <row r="6" spans="1:11" ht="12.75" x14ac:dyDescent="0.15">
      <c r="A6" s="216"/>
      <c r="B6" s="216"/>
      <c r="C6" s="216"/>
      <c r="D6" s="216"/>
      <c r="E6" s="216"/>
      <c r="F6" s="216"/>
      <c r="G6" s="216"/>
      <c r="H6" s="216"/>
      <c r="I6" s="216"/>
      <c r="K6" s="211"/>
    </row>
    <row r="7" spans="1:11" ht="12.75" x14ac:dyDescent="0.15">
      <c r="A7" s="241"/>
      <c r="B7" s="241"/>
      <c r="C7" s="234"/>
      <c r="D7" s="242" t="s">
        <v>409</v>
      </c>
      <c r="E7" s="242" t="s">
        <v>410</v>
      </c>
      <c r="F7" s="242" t="s">
        <v>411</v>
      </c>
      <c r="G7" s="242" t="s">
        <v>412</v>
      </c>
      <c r="H7" s="244" t="s">
        <v>413</v>
      </c>
      <c r="I7" s="217" t="s">
        <v>417</v>
      </c>
      <c r="K7" s="211"/>
    </row>
    <row r="8" spans="1:11" ht="12.75" x14ac:dyDescent="0.15">
      <c r="A8" s="242" t="s">
        <v>416</v>
      </c>
      <c r="B8" s="243" t="s">
        <v>414</v>
      </c>
      <c r="C8" s="235">
        <v>40142</v>
      </c>
      <c r="D8" s="226">
        <v>0</v>
      </c>
      <c r="E8" s="226">
        <v>0</v>
      </c>
      <c r="F8" s="226">
        <v>0</v>
      </c>
      <c r="G8" s="226">
        <f>C1</f>
        <v>53000000</v>
      </c>
      <c r="H8" s="236">
        <f>C2-C1-C4+C3*35%</f>
        <v>-45686000</v>
      </c>
      <c r="I8" s="210">
        <f>C3*35%</f>
        <v>1484000</v>
      </c>
      <c r="J8" s="214">
        <v>0</v>
      </c>
      <c r="K8" s="218">
        <v>0.35</v>
      </c>
    </row>
    <row r="9" spans="1:11" ht="12.75" x14ac:dyDescent="0.15">
      <c r="A9" s="237">
        <v>6</v>
      </c>
      <c r="B9" s="238">
        <v>1</v>
      </c>
      <c r="C9" s="235">
        <v>40323</v>
      </c>
      <c r="D9" s="226">
        <f>E9+F9</f>
        <v>4823000</v>
      </c>
      <c r="E9" s="226">
        <f>G8*$C$5*A9</f>
        <v>1643000</v>
      </c>
      <c r="F9" s="226">
        <f>$C$1*J9</f>
        <v>3180000</v>
      </c>
      <c r="G9" s="226">
        <f>G8-F9</f>
        <v>49820000</v>
      </c>
      <c r="H9" s="229">
        <f>D9+C3*25%</f>
        <v>5883000</v>
      </c>
      <c r="I9" s="210">
        <f>C3*25%</f>
        <v>1060000</v>
      </c>
      <c r="J9" s="219">
        <v>0.06</v>
      </c>
      <c r="K9" s="220">
        <v>0.25</v>
      </c>
    </row>
    <row r="10" spans="1:11" ht="12.75" x14ac:dyDescent="0.15">
      <c r="A10" s="237">
        <v>6</v>
      </c>
      <c r="B10" s="238">
        <v>2</v>
      </c>
      <c r="C10" s="235">
        <v>40507</v>
      </c>
      <c r="D10" s="226">
        <f t="shared" ref="D10:D17" si="0">E10+F10</f>
        <v>6844420</v>
      </c>
      <c r="E10" s="226">
        <f>G9*$C$5*A10</f>
        <v>1544420</v>
      </c>
      <c r="F10" s="226">
        <f t="shared" ref="F10:F18" si="1">$C$1*J10</f>
        <v>5300000</v>
      </c>
      <c r="G10" s="226">
        <f t="shared" ref="G10:G17" si="2">G9-F10</f>
        <v>44520000</v>
      </c>
      <c r="H10" s="229">
        <f>D10+C3*40%</f>
        <v>8540420</v>
      </c>
      <c r="I10" s="210">
        <f>C3*40%</f>
        <v>1696000</v>
      </c>
      <c r="J10" s="219">
        <v>0.1</v>
      </c>
      <c r="K10" s="220">
        <v>0.4</v>
      </c>
    </row>
    <row r="11" spans="1:11" ht="12.75" x14ac:dyDescent="0.15">
      <c r="A11" s="237">
        <v>6</v>
      </c>
      <c r="B11" s="238">
        <v>3</v>
      </c>
      <c r="C11" s="235">
        <v>40688</v>
      </c>
      <c r="D11" s="226">
        <f t="shared" si="0"/>
        <v>5090120</v>
      </c>
      <c r="E11" s="226">
        <f t="shared" ref="E11:E17" si="3">G10*$C$5*A11</f>
        <v>1380120</v>
      </c>
      <c r="F11" s="226">
        <f t="shared" si="1"/>
        <v>3710000.0000000005</v>
      </c>
      <c r="G11" s="226">
        <f t="shared" si="2"/>
        <v>40810000</v>
      </c>
      <c r="H11" s="229">
        <f t="shared" ref="H11:H17" si="4">D11</f>
        <v>5090120</v>
      </c>
      <c r="I11" s="215"/>
      <c r="J11" s="219">
        <v>7.0000000000000007E-2</v>
      </c>
      <c r="K11" s="220"/>
    </row>
    <row r="12" spans="1:11" ht="12.75" x14ac:dyDescent="0.15">
      <c r="A12" s="237">
        <v>6</v>
      </c>
      <c r="B12" s="238">
        <v>4</v>
      </c>
      <c r="C12" s="235">
        <v>40872</v>
      </c>
      <c r="D12" s="226">
        <f t="shared" si="0"/>
        <v>8685110</v>
      </c>
      <c r="E12" s="226">
        <f t="shared" si="3"/>
        <v>1265110</v>
      </c>
      <c r="F12" s="226">
        <f t="shared" si="1"/>
        <v>7420000.0000000009</v>
      </c>
      <c r="G12" s="226">
        <f t="shared" si="2"/>
        <v>33390000</v>
      </c>
      <c r="H12" s="229">
        <f t="shared" si="4"/>
        <v>8685110</v>
      </c>
      <c r="I12" s="215"/>
      <c r="J12" s="219">
        <v>0.14000000000000001</v>
      </c>
      <c r="K12" s="220"/>
    </row>
    <row r="13" spans="1:11" ht="12.75" x14ac:dyDescent="0.15">
      <c r="A13" s="237">
        <v>6</v>
      </c>
      <c r="B13" s="238">
        <v>5</v>
      </c>
      <c r="C13" s="235">
        <v>41054</v>
      </c>
      <c r="D13" s="226">
        <f t="shared" si="0"/>
        <v>5275090</v>
      </c>
      <c r="E13" s="226">
        <f t="shared" si="3"/>
        <v>1035090</v>
      </c>
      <c r="F13" s="226">
        <f t="shared" si="1"/>
        <v>4240000</v>
      </c>
      <c r="G13" s="226">
        <f t="shared" si="2"/>
        <v>29150000</v>
      </c>
      <c r="H13" s="229">
        <f t="shared" si="4"/>
        <v>5275090</v>
      </c>
      <c r="I13" s="215"/>
      <c r="J13" s="219">
        <v>0.08</v>
      </c>
      <c r="K13" s="220"/>
    </row>
    <row r="14" spans="1:11" ht="12.75" x14ac:dyDescent="0.15">
      <c r="A14" s="237">
        <v>6</v>
      </c>
      <c r="B14" s="238">
        <v>6</v>
      </c>
      <c r="C14" s="235">
        <v>41238</v>
      </c>
      <c r="D14" s="226">
        <f t="shared" si="0"/>
        <v>8853650</v>
      </c>
      <c r="E14" s="226">
        <f t="shared" si="3"/>
        <v>903650</v>
      </c>
      <c r="F14" s="226">
        <f t="shared" si="1"/>
        <v>7950000</v>
      </c>
      <c r="G14" s="226">
        <f t="shared" si="2"/>
        <v>21200000</v>
      </c>
      <c r="H14" s="229">
        <f t="shared" si="4"/>
        <v>8853650</v>
      </c>
      <c r="I14" s="215"/>
      <c r="J14" s="219">
        <v>0.15</v>
      </c>
      <c r="K14" s="220"/>
    </row>
    <row r="15" spans="1:11" ht="12.75" x14ac:dyDescent="0.15">
      <c r="A15" s="237">
        <v>6</v>
      </c>
      <c r="B15" s="238">
        <v>7</v>
      </c>
      <c r="C15" s="235">
        <v>41419</v>
      </c>
      <c r="D15" s="226">
        <f t="shared" si="0"/>
        <v>5957200</v>
      </c>
      <c r="E15" s="226">
        <f t="shared" si="3"/>
        <v>657200</v>
      </c>
      <c r="F15" s="226">
        <f t="shared" si="1"/>
        <v>5300000</v>
      </c>
      <c r="G15" s="226">
        <f t="shared" si="2"/>
        <v>15900000</v>
      </c>
      <c r="H15" s="229">
        <f t="shared" si="4"/>
        <v>5957200</v>
      </c>
      <c r="I15" s="215"/>
      <c r="J15" s="219">
        <v>0.1</v>
      </c>
      <c r="K15" s="220"/>
    </row>
    <row r="16" spans="1:11" ht="12.75" x14ac:dyDescent="0.15">
      <c r="A16" s="237">
        <v>6</v>
      </c>
      <c r="B16" s="238">
        <v>8</v>
      </c>
      <c r="C16" s="235">
        <v>41603</v>
      </c>
      <c r="D16" s="226">
        <f t="shared" si="0"/>
        <v>8972900</v>
      </c>
      <c r="E16" s="226">
        <f t="shared" si="3"/>
        <v>492900</v>
      </c>
      <c r="F16" s="226">
        <f t="shared" si="1"/>
        <v>8480000</v>
      </c>
      <c r="G16" s="226">
        <f t="shared" si="2"/>
        <v>7420000</v>
      </c>
      <c r="H16" s="229">
        <f t="shared" si="4"/>
        <v>8972900</v>
      </c>
      <c r="I16" s="215"/>
      <c r="J16" s="219">
        <v>0.16</v>
      </c>
      <c r="K16" s="220"/>
    </row>
    <row r="17" spans="1:11" ht="12.75" x14ac:dyDescent="0.15">
      <c r="A17" s="237">
        <v>6</v>
      </c>
      <c r="B17" s="238">
        <v>9</v>
      </c>
      <c r="C17" s="235">
        <v>41784</v>
      </c>
      <c r="D17" s="226">
        <f t="shared" si="0"/>
        <v>3410020</v>
      </c>
      <c r="E17" s="226">
        <f t="shared" si="3"/>
        <v>230020</v>
      </c>
      <c r="F17" s="226">
        <f t="shared" si="1"/>
        <v>3180000</v>
      </c>
      <c r="G17" s="226">
        <f t="shared" si="2"/>
        <v>4240000</v>
      </c>
      <c r="H17" s="229">
        <f t="shared" si="4"/>
        <v>3410020</v>
      </c>
      <c r="I17" s="215"/>
      <c r="J17" s="219">
        <v>0.06</v>
      </c>
      <c r="K17" s="220"/>
    </row>
    <row r="18" spans="1:11" ht="12.75" x14ac:dyDescent="0.15">
      <c r="A18" s="237">
        <v>6</v>
      </c>
      <c r="B18" s="238">
        <v>10</v>
      </c>
      <c r="C18" s="235">
        <v>41968</v>
      </c>
      <c r="D18" s="226">
        <f>E18+F18</f>
        <v>4371440</v>
      </c>
      <c r="E18" s="226">
        <f>G17*$C$5*A18</f>
        <v>131440</v>
      </c>
      <c r="F18" s="226">
        <f t="shared" si="1"/>
        <v>4240000</v>
      </c>
      <c r="G18" s="226">
        <f>G17-F18</f>
        <v>0</v>
      </c>
      <c r="H18" s="236">
        <f>D18-C2</f>
        <v>-1458560</v>
      </c>
      <c r="I18" s="215"/>
      <c r="J18" s="219">
        <v>0.08</v>
      </c>
      <c r="K18" s="220"/>
    </row>
    <row r="19" spans="1:11" ht="12.75" x14ac:dyDescent="0.15">
      <c r="A19" s="226"/>
      <c r="B19" s="234"/>
      <c r="C19" s="226" t="s">
        <v>415</v>
      </c>
      <c r="D19" s="226">
        <f>SUM(D8:D18)</f>
        <v>62282950</v>
      </c>
      <c r="E19" s="226">
        <f>SUM(E8:E18)</f>
        <v>9282950</v>
      </c>
      <c r="F19" s="226">
        <f>SUM(F8:F18)</f>
        <v>53000000</v>
      </c>
      <c r="G19" s="239"/>
      <c r="H19" s="240">
        <f>IRR(H8:H18)</f>
        <v>5.7889166192462538E-2</v>
      </c>
      <c r="I19" s="215"/>
      <c r="J19" s="219">
        <f>SUM(J9:J18)</f>
        <v>0.99999999999999989</v>
      </c>
      <c r="K19" s="220"/>
    </row>
    <row r="20" spans="1:11" ht="12.75" x14ac:dyDescent="0.15">
      <c r="A20" s="209"/>
      <c r="B20" s="209"/>
      <c r="C20" s="209"/>
      <c r="D20" s="209"/>
      <c r="E20" s="209"/>
      <c r="F20" s="209"/>
      <c r="G20" s="221"/>
      <c r="H20" s="219">
        <f>H19*2</f>
        <v>0.11577833238492508</v>
      </c>
      <c r="I20" s="211"/>
      <c r="K20" s="211"/>
    </row>
    <row r="21" spans="1:11" ht="12.75" x14ac:dyDescent="0.15">
      <c r="A21" s="222"/>
      <c r="B21" s="211"/>
      <c r="C21" s="212"/>
      <c r="D21" s="212"/>
      <c r="E21" s="211"/>
      <c r="F21" s="211"/>
      <c r="G21" s="211"/>
      <c r="H21" s="211"/>
      <c r="I21" s="211"/>
      <c r="K21" s="211"/>
    </row>
    <row r="22" spans="1:11" ht="12.75" x14ac:dyDescent="0.15">
      <c r="A22" s="211"/>
      <c r="B22" s="211"/>
      <c r="C22" s="209"/>
      <c r="D22" s="223"/>
      <c r="E22" s="223"/>
      <c r="F22" s="212"/>
      <c r="G22" s="211"/>
      <c r="H22" s="209"/>
      <c r="I22" s="211"/>
      <c r="J22" s="211"/>
      <c r="K22" s="211"/>
    </row>
    <row r="23" spans="1:11" ht="12.75" x14ac:dyDescent="0.15">
      <c r="A23" s="211"/>
      <c r="B23" s="212"/>
      <c r="C23" s="212"/>
      <c r="D23" s="212"/>
      <c r="E23" s="223"/>
      <c r="F23" s="211">
        <f>(6.2-5.76)/5.76</f>
        <v>7.6388888888888964E-2</v>
      </c>
      <c r="G23" s="223"/>
      <c r="H23" s="211"/>
      <c r="I23" s="211"/>
      <c r="J23" s="211"/>
      <c r="K23" s="211"/>
    </row>
    <row r="24" spans="1:11" x14ac:dyDescent="0.15">
      <c r="C24" s="224"/>
      <c r="G24" s="225"/>
    </row>
    <row r="25" spans="1:11" ht="12.75" x14ac:dyDescent="0.15">
      <c r="D25" s="209">
        <f>230000000*30%</f>
        <v>69000000</v>
      </c>
      <c r="G25" s="219"/>
    </row>
    <row r="26" spans="1:11" x14ac:dyDescent="0.15">
      <c r="D26" s="28">
        <f>D25-23750000+2750000</f>
        <v>48000000</v>
      </c>
    </row>
    <row r="27" spans="1:11" x14ac:dyDescent="0.15">
      <c r="C27" s="224"/>
    </row>
    <row r="30" spans="1:11" x14ac:dyDescent="0.15">
      <c r="C30" s="224"/>
    </row>
    <row r="33" spans="3:3" x14ac:dyDescent="0.15">
      <c r="C33" s="224"/>
    </row>
    <row r="36" spans="3:3" x14ac:dyDescent="0.15">
      <c r="C36" s="224"/>
    </row>
    <row r="39" spans="3:3" x14ac:dyDescent="0.15">
      <c r="C39" s="224"/>
    </row>
    <row r="42" spans="3:3" x14ac:dyDescent="0.15">
      <c r="C42" s="224"/>
    </row>
    <row r="45" spans="3:3" x14ac:dyDescent="0.15">
      <c r="C45" s="224"/>
    </row>
    <row r="48" spans="3:3" x14ac:dyDescent="0.15">
      <c r="C48" s="224"/>
    </row>
    <row r="51" spans="3:3" x14ac:dyDescent="0.15">
      <c r="C51" s="224"/>
    </row>
    <row r="52" spans="3:3" x14ac:dyDescent="0.15">
      <c r="C52" s="219"/>
    </row>
    <row r="53" spans="3:3" x14ac:dyDescent="0.15">
      <c r="C53" s="219"/>
    </row>
  </sheetData>
  <phoneticPr fontId="2" type="noConversion"/>
  <pageMargins left="0.75" right="0.75" top="1" bottom="1" header="0.5" footer="0.5"/>
  <pageSetup paperSize="9" scale="80" orientation="landscape" r:id="rId1"/>
  <headerFooter alignWithMargins="0"/>
  <ignoredErrors>
    <ignoredError sqref="J19" formulaRange="1"/>
  </ignoredErrors>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T488"/>
  <sheetViews>
    <sheetView workbookViewId="0">
      <selection activeCell="D4" sqref="D4"/>
    </sheetView>
  </sheetViews>
  <sheetFormatPr defaultRowHeight="12" x14ac:dyDescent="0.15"/>
  <cols>
    <col min="1" max="1" width="1" style="206" customWidth="1"/>
    <col min="2" max="2" width="12.875" style="206" customWidth="1"/>
    <col min="3" max="3" width="15.25" style="206" customWidth="1"/>
    <col min="4" max="4" width="14.5" style="206" customWidth="1"/>
    <col min="5" max="5" width="14.875" style="206" customWidth="1"/>
    <col min="6" max="6" width="15.5" style="206" customWidth="1"/>
    <col min="7" max="7" width="16.5" style="206" customWidth="1"/>
    <col min="8" max="8" width="28.875" style="206" bestFit="1" customWidth="1"/>
    <col min="9" max="9" width="19.25" style="206" customWidth="1"/>
    <col min="10" max="10" width="15" style="206" bestFit="1" customWidth="1"/>
    <col min="11" max="11" width="8.5" style="206" bestFit="1" customWidth="1"/>
    <col min="12" max="12" width="11.5" style="206" bestFit="1" customWidth="1"/>
    <col min="13" max="16384" width="9" style="206"/>
  </cols>
  <sheetData>
    <row r="1" spans="2:10" ht="22.5" x14ac:dyDescent="0.15">
      <c r="B1" s="655" t="s">
        <v>742</v>
      </c>
      <c r="C1" s="656"/>
      <c r="D1" s="656"/>
      <c r="E1" s="656"/>
      <c r="F1" s="656"/>
      <c r="G1" s="656"/>
      <c r="H1" s="656"/>
      <c r="I1" s="656"/>
      <c r="J1" s="657"/>
    </row>
    <row r="2" spans="2:10" x14ac:dyDescent="0.15">
      <c r="B2" s="525" t="s">
        <v>192</v>
      </c>
      <c r="C2" s="525"/>
      <c r="D2" s="525"/>
      <c r="E2" s="525"/>
      <c r="F2" s="525"/>
      <c r="G2" s="525"/>
      <c r="H2" s="525"/>
      <c r="I2" s="525"/>
      <c r="J2" s="525"/>
    </row>
    <row r="3" spans="2:10" x14ac:dyDescent="0.15">
      <c r="B3" s="126" t="s">
        <v>70</v>
      </c>
      <c r="C3" s="145"/>
      <c r="D3" s="126" t="s">
        <v>71</v>
      </c>
      <c r="E3" s="526" t="s">
        <v>705</v>
      </c>
      <c r="F3" s="526"/>
      <c r="G3" s="526"/>
      <c r="H3" s="526"/>
      <c r="I3" s="526"/>
      <c r="J3" s="526"/>
    </row>
    <row r="4" spans="2:10" x14ac:dyDescent="0.15">
      <c r="B4" s="126" t="s">
        <v>72</v>
      </c>
      <c r="C4" s="364"/>
      <c r="D4" s="126" t="s">
        <v>73</v>
      </c>
      <c r="E4" s="365"/>
      <c r="F4" s="126" t="s">
        <v>74</v>
      </c>
      <c r="G4" s="127" t="s">
        <v>626</v>
      </c>
      <c r="H4" s="126" t="s">
        <v>75</v>
      </c>
      <c r="I4" s="527">
        <v>42005</v>
      </c>
      <c r="J4" s="527"/>
    </row>
    <row r="5" spans="2:10" x14ac:dyDescent="0.15">
      <c r="B5" s="525" t="s">
        <v>193</v>
      </c>
      <c r="C5" s="525"/>
      <c r="D5" s="525"/>
      <c r="E5" s="525"/>
      <c r="F5" s="525"/>
      <c r="G5" s="525"/>
      <c r="H5" s="525"/>
      <c r="I5" s="525"/>
      <c r="J5" s="525"/>
    </row>
    <row r="6" spans="2:10" x14ac:dyDescent="0.15">
      <c r="B6" s="126" t="s">
        <v>76</v>
      </c>
      <c r="C6" s="15" t="s">
        <v>356</v>
      </c>
      <c r="D6" s="126" t="s">
        <v>77</v>
      </c>
      <c r="E6" s="528" t="s">
        <v>685</v>
      </c>
      <c r="F6" s="528"/>
      <c r="G6" s="528"/>
      <c r="H6" s="128" t="s">
        <v>119</v>
      </c>
      <c r="I6" s="455"/>
      <c r="J6" s="455"/>
    </row>
    <row r="7" spans="2:10" x14ac:dyDescent="0.15">
      <c r="B7" s="529" t="s">
        <v>194</v>
      </c>
      <c r="C7" s="529"/>
      <c r="D7" s="529"/>
      <c r="E7" s="529"/>
      <c r="F7" s="529"/>
      <c r="G7" s="529"/>
      <c r="H7" s="529"/>
      <c r="I7" s="529"/>
      <c r="J7" s="529"/>
    </row>
    <row r="8" spans="2:10" x14ac:dyDescent="0.15">
      <c r="B8" s="126" t="s">
        <v>121</v>
      </c>
      <c r="C8" s="126" t="s">
        <v>78</v>
      </c>
      <c r="D8" s="129" t="s">
        <v>79</v>
      </c>
      <c r="E8" s="126" t="s">
        <v>80</v>
      </c>
      <c r="F8" s="129" t="s">
        <v>81</v>
      </c>
      <c r="G8" s="126" t="s">
        <v>357</v>
      </c>
      <c r="H8" s="126" t="s">
        <v>687</v>
      </c>
      <c r="I8" s="126" t="s">
        <v>87</v>
      </c>
      <c r="J8" s="126" t="s">
        <v>82</v>
      </c>
    </row>
    <row r="9" spans="2:10" x14ac:dyDescent="0.15">
      <c r="B9" s="35">
        <v>5300</v>
      </c>
      <c r="C9" s="33">
        <f>B9*D9</f>
        <v>0</v>
      </c>
      <c r="D9" s="34">
        <v>0</v>
      </c>
      <c r="E9" s="35">
        <f>B9*F9</f>
        <v>583</v>
      </c>
      <c r="F9" s="34">
        <v>0.11</v>
      </c>
      <c r="G9" s="35">
        <f>B9*H9</f>
        <v>424</v>
      </c>
      <c r="H9" s="34">
        <v>0.08</v>
      </c>
      <c r="I9" s="34">
        <v>0.11219999999999999</v>
      </c>
      <c r="J9" s="34">
        <v>6.2E-2</v>
      </c>
    </row>
    <row r="10" spans="2:10" x14ac:dyDescent="0.15">
      <c r="B10" s="126" t="s">
        <v>83</v>
      </c>
      <c r="C10" s="126" t="s">
        <v>84</v>
      </c>
      <c r="D10" s="126" t="s">
        <v>706</v>
      </c>
      <c r="E10" s="126" t="s">
        <v>85</v>
      </c>
      <c r="F10" s="126" t="s">
        <v>86</v>
      </c>
      <c r="G10" s="126" t="s">
        <v>688</v>
      </c>
      <c r="H10" s="268" t="s">
        <v>96</v>
      </c>
      <c r="I10" s="268" t="s">
        <v>120</v>
      </c>
      <c r="J10" s="126" t="s">
        <v>88</v>
      </c>
    </row>
    <row r="11" spans="2:10" x14ac:dyDescent="0.15">
      <c r="B11" s="35">
        <f>(B9-C9-E9)</f>
        <v>4717</v>
      </c>
      <c r="C11" s="34">
        <v>0.89</v>
      </c>
      <c r="D11" s="425">
        <v>60</v>
      </c>
      <c r="E11" s="425" t="s">
        <v>97</v>
      </c>
      <c r="F11" s="425" t="s">
        <v>358</v>
      </c>
      <c r="G11" s="425" t="s">
        <v>359</v>
      </c>
      <c r="H11" s="265" t="s">
        <v>429</v>
      </c>
      <c r="I11" s="34">
        <v>0.1158</v>
      </c>
      <c r="J11" s="34">
        <v>6.2E-2</v>
      </c>
    </row>
    <row r="12" spans="2:10" x14ac:dyDescent="0.15">
      <c r="B12" s="531" t="s">
        <v>209</v>
      </c>
      <c r="C12" s="531"/>
      <c r="D12" s="531"/>
      <c r="E12" s="531"/>
      <c r="F12" s="531"/>
      <c r="G12" s="531"/>
      <c r="H12" s="531"/>
      <c r="I12" s="531"/>
      <c r="J12" s="531"/>
    </row>
    <row r="13" spans="2:10" x14ac:dyDescent="0.15">
      <c r="B13" s="426" t="s">
        <v>205</v>
      </c>
      <c r="C13" s="427">
        <v>4717</v>
      </c>
      <c r="D13" s="129" t="s">
        <v>206</v>
      </c>
      <c r="E13" s="35">
        <f>C13+前期项目!C6-一期租金测算!F11/10000</f>
        <v>6817</v>
      </c>
      <c r="F13" s="129" t="s">
        <v>207</v>
      </c>
      <c r="G13" s="425" t="s">
        <v>376</v>
      </c>
      <c r="H13" s="268" t="s">
        <v>208</v>
      </c>
      <c r="I13" s="532"/>
      <c r="J13" s="532"/>
    </row>
    <row r="14" spans="2:10" x14ac:dyDescent="0.15">
      <c r="B14" s="433" t="s">
        <v>259</v>
      </c>
      <c r="C14" s="433"/>
      <c r="D14" s="433"/>
      <c r="E14" s="433"/>
      <c r="F14" s="433"/>
      <c r="G14" s="433"/>
      <c r="H14" s="433"/>
      <c r="I14" s="433"/>
      <c r="J14" s="433"/>
    </row>
    <row r="15" spans="2:10" x14ac:dyDescent="0.15">
      <c r="B15" s="136" t="s">
        <v>218</v>
      </c>
      <c r="C15" s="530" t="s">
        <v>360</v>
      </c>
      <c r="D15" s="530"/>
      <c r="E15" s="530"/>
      <c r="F15" s="530"/>
      <c r="G15" s="530"/>
      <c r="H15" s="530"/>
      <c r="I15" s="530"/>
      <c r="J15" s="530"/>
    </row>
    <row r="16" spans="2:10" ht="24" x14ac:dyDescent="0.15">
      <c r="B16" s="418" t="s">
        <v>217</v>
      </c>
      <c r="C16" s="530" t="s">
        <v>418</v>
      </c>
      <c r="D16" s="530"/>
      <c r="E16" s="530"/>
      <c r="F16" s="530"/>
      <c r="G16" s="530"/>
      <c r="H16" s="530"/>
      <c r="I16" s="530"/>
      <c r="J16" s="530"/>
    </row>
    <row r="17" spans="2:10" ht="24" x14ac:dyDescent="0.15">
      <c r="B17" s="418" t="s">
        <v>223</v>
      </c>
      <c r="C17" s="530" t="s">
        <v>597</v>
      </c>
      <c r="D17" s="530"/>
      <c r="E17" s="530"/>
      <c r="F17" s="530"/>
      <c r="G17" s="530"/>
      <c r="H17" s="530"/>
      <c r="I17" s="530"/>
      <c r="J17" s="530"/>
    </row>
    <row r="18" spans="2:10" x14ac:dyDescent="0.15">
      <c r="B18" s="136" t="s">
        <v>171</v>
      </c>
      <c r="C18" s="530" t="s">
        <v>361</v>
      </c>
      <c r="D18" s="530"/>
      <c r="E18" s="530"/>
      <c r="F18" s="530"/>
      <c r="G18" s="530"/>
      <c r="H18" s="530"/>
      <c r="I18" s="530"/>
      <c r="J18" s="530"/>
    </row>
    <row r="19" spans="2:10" x14ac:dyDescent="0.15">
      <c r="B19" s="433" t="s">
        <v>260</v>
      </c>
      <c r="C19" s="433"/>
      <c r="D19" s="433"/>
      <c r="E19" s="433"/>
      <c r="F19" s="433"/>
      <c r="G19" s="433"/>
      <c r="H19" s="433"/>
      <c r="I19" s="433"/>
      <c r="J19" s="433"/>
    </row>
    <row r="20" spans="2:10" x14ac:dyDescent="0.15">
      <c r="B20" s="433" t="s">
        <v>122</v>
      </c>
      <c r="C20" s="433"/>
      <c r="D20" s="433"/>
      <c r="E20" s="433"/>
      <c r="F20" s="433" t="s">
        <v>428</v>
      </c>
      <c r="G20" s="433"/>
      <c r="H20" s="433"/>
      <c r="I20" s="433"/>
      <c r="J20" s="433"/>
    </row>
    <row r="21" spans="2:10" ht="29.25" customHeight="1" x14ac:dyDescent="0.15">
      <c r="B21" s="451" t="s">
        <v>419</v>
      </c>
      <c r="C21" s="451"/>
      <c r="D21" s="451"/>
      <c r="E21" s="451"/>
      <c r="F21" s="448" t="s">
        <v>362</v>
      </c>
      <c r="G21" s="448"/>
      <c r="H21" s="448"/>
      <c r="I21" s="448"/>
      <c r="J21" s="448"/>
    </row>
    <row r="22" spans="2:10" ht="45" customHeight="1" x14ac:dyDescent="0.15">
      <c r="B22" s="451" t="s">
        <v>420</v>
      </c>
      <c r="C22" s="451"/>
      <c r="D22" s="451"/>
      <c r="E22" s="451"/>
      <c r="F22" s="448" t="s">
        <v>427</v>
      </c>
      <c r="G22" s="448"/>
      <c r="H22" s="448"/>
      <c r="I22" s="448"/>
      <c r="J22" s="448"/>
    </row>
    <row r="23" spans="2:10" ht="55.5" customHeight="1" x14ac:dyDescent="0.15">
      <c r="B23" s="451" t="s">
        <v>421</v>
      </c>
      <c r="C23" s="451"/>
      <c r="D23" s="451"/>
      <c r="E23" s="451"/>
      <c r="F23" s="448" t="s">
        <v>612</v>
      </c>
      <c r="G23" s="448"/>
      <c r="H23" s="448"/>
      <c r="I23" s="448"/>
      <c r="J23" s="448"/>
    </row>
    <row r="24" spans="2:10" x14ac:dyDescent="0.15">
      <c r="B24" s="432" t="s">
        <v>254</v>
      </c>
      <c r="C24" s="432"/>
      <c r="D24" s="432"/>
      <c r="E24" s="432"/>
      <c r="F24" s="432"/>
      <c r="G24" s="432"/>
      <c r="H24" s="432"/>
      <c r="I24" s="432"/>
      <c r="J24" s="432"/>
    </row>
    <row r="25" spans="2:10" ht="24" x14ac:dyDescent="0.15">
      <c r="B25" s="269" t="s">
        <v>377</v>
      </c>
      <c r="C25" s="269" t="s">
        <v>255</v>
      </c>
      <c r="D25" s="269" t="s">
        <v>256</v>
      </c>
      <c r="E25" s="269" t="s">
        <v>396</v>
      </c>
      <c r="F25" s="269" t="s">
        <v>257</v>
      </c>
      <c r="G25" s="269" t="s">
        <v>397</v>
      </c>
      <c r="H25" s="269" t="s">
        <v>398</v>
      </c>
      <c r="I25" s="269" t="s">
        <v>258</v>
      </c>
      <c r="J25" s="269" t="s">
        <v>378</v>
      </c>
    </row>
    <row r="26" spans="2:10" x14ac:dyDescent="0.15">
      <c r="B26" s="266">
        <f>('行政－收支明细表'!F4/'行政－收支明细表'!B4)^(1/2)-1</f>
        <v>0.10638402626249466</v>
      </c>
      <c r="C26" s="31">
        <f>'行政－收支明细表'!F4/'行政－收支明细表'!F5</f>
        <v>0.79298371341786011</v>
      </c>
      <c r="D26" s="266">
        <f>'行政－收支明细表'!G57</f>
        <v>0.35578114512292297</v>
      </c>
      <c r="E26" s="32">
        <f>'行政－收支明细表'!F3/(调查报告!C254)</f>
        <v>0.4028531892773648</v>
      </c>
      <c r="F26" s="31">
        <f>(C175)/'行政－收支明细表'!F3</f>
        <v>1.491886415862901</v>
      </c>
      <c r="G26" s="31">
        <f>'行政－收支明细表'!F3/6900</f>
        <v>3.3464839279710139</v>
      </c>
      <c r="H26" s="31">
        <f>E323/(E337+E335)</f>
        <v>10.725074980083955</v>
      </c>
      <c r="I26" s="32">
        <f>('基建－资金表'!F31+'基建－资金表'!F29)/'基建－资金表'!F36</f>
        <v>0.71802813592822767</v>
      </c>
      <c r="J26" s="271" t="s">
        <v>379</v>
      </c>
    </row>
    <row r="27" spans="2:10" x14ac:dyDescent="0.15">
      <c r="B27" s="433" t="s">
        <v>686</v>
      </c>
      <c r="C27" s="433"/>
      <c r="D27" s="433"/>
      <c r="E27" s="433"/>
      <c r="F27" s="433"/>
      <c r="G27" s="433"/>
      <c r="H27" s="433"/>
      <c r="I27" s="433"/>
      <c r="J27" s="433"/>
    </row>
    <row r="28" spans="2:10" ht="47.25" customHeight="1" x14ac:dyDescent="0.15">
      <c r="B28" s="448" t="s">
        <v>724</v>
      </c>
      <c r="C28" s="448"/>
      <c r="D28" s="448"/>
      <c r="E28" s="448"/>
      <c r="F28" s="448"/>
      <c r="G28" s="448"/>
      <c r="H28" s="448"/>
      <c r="I28" s="448"/>
      <c r="J28" s="448"/>
    </row>
    <row r="29" spans="2:10" ht="39" customHeight="1" x14ac:dyDescent="0.15">
      <c r="B29" s="448" t="s">
        <v>422</v>
      </c>
      <c r="C29" s="448"/>
      <c r="D29" s="448"/>
      <c r="E29" s="448"/>
      <c r="F29" s="448"/>
      <c r="G29" s="448"/>
      <c r="H29" s="448"/>
      <c r="I29" s="448"/>
      <c r="J29" s="448"/>
    </row>
    <row r="30" spans="2:10" ht="30" customHeight="1" x14ac:dyDescent="0.15">
      <c r="B30" s="448" t="s">
        <v>423</v>
      </c>
      <c r="C30" s="448"/>
      <c r="D30" s="448"/>
      <c r="E30" s="448"/>
      <c r="F30" s="448"/>
      <c r="G30" s="448"/>
      <c r="H30" s="448"/>
      <c r="I30" s="448"/>
      <c r="J30" s="448"/>
    </row>
    <row r="31" spans="2:10" ht="24.75" customHeight="1" x14ac:dyDescent="0.15">
      <c r="B31" s="448" t="s">
        <v>598</v>
      </c>
      <c r="C31" s="448"/>
      <c r="D31" s="448"/>
      <c r="E31" s="448"/>
      <c r="F31" s="448"/>
      <c r="G31" s="448"/>
      <c r="H31" s="448"/>
      <c r="I31" s="448"/>
      <c r="J31" s="448"/>
    </row>
    <row r="32" spans="2:10" ht="35.25" customHeight="1" x14ac:dyDescent="0.15">
      <c r="B32" s="448" t="s">
        <v>725</v>
      </c>
      <c r="C32" s="448"/>
      <c r="D32" s="448"/>
      <c r="E32" s="448"/>
      <c r="F32" s="448"/>
      <c r="G32" s="448"/>
      <c r="H32" s="448"/>
      <c r="I32" s="448"/>
      <c r="J32" s="448"/>
    </row>
    <row r="33" spans="2:10" ht="33" customHeight="1" x14ac:dyDescent="0.15">
      <c r="B33" s="448" t="s">
        <v>726</v>
      </c>
      <c r="C33" s="448"/>
      <c r="D33" s="448"/>
      <c r="E33" s="448"/>
      <c r="F33" s="448"/>
      <c r="G33" s="448"/>
      <c r="H33" s="448"/>
      <c r="I33" s="448"/>
      <c r="J33" s="448"/>
    </row>
    <row r="34" spans="2:10" x14ac:dyDescent="0.15">
      <c r="B34" s="448" t="s">
        <v>610</v>
      </c>
      <c r="C34" s="448"/>
      <c r="D34" s="448"/>
      <c r="E34" s="448"/>
      <c r="F34" s="448"/>
      <c r="G34" s="448"/>
      <c r="H34" s="448"/>
      <c r="I34" s="448"/>
      <c r="J34" s="448"/>
    </row>
    <row r="35" spans="2:10" x14ac:dyDescent="0.15">
      <c r="B35" s="448" t="s">
        <v>611</v>
      </c>
      <c r="C35" s="448"/>
      <c r="D35" s="448"/>
      <c r="E35" s="448"/>
      <c r="F35" s="448"/>
      <c r="G35" s="448"/>
      <c r="H35" s="448"/>
      <c r="I35" s="448"/>
      <c r="J35" s="448"/>
    </row>
    <row r="36" spans="2:10" x14ac:dyDescent="0.15">
      <c r="B36" s="450" t="s">
        <v>608</v>
      </c>
      <c r="C36" s="450"/>
      <c r="D36" s="450"/>
      <c r="E36" s="450"/>
      <c r="F36" s="450"/>
      <c r="G36" s="450"/>
      <c r="H36" s="450"/>
      <c r="I36" s="450"/>
      <c r="J36" s="450"/>
    </row>
    <row r="37" spans="2:10" x14ac:dyDescent="0.15">
      <c r="B37" s="525" t="s">
        <v>190</v>
      </c>
      <c r="C37" s="525"/>
      <c r="D37" s="525"/>
      <c r="E37" s="525"/>
      <c r="F37" s="525"/>
      <c r="G37" s="525"/>
      <c r="H37" s="525"/>
      <c r="I37" s="525"/>
      <c r="J37" s="525"/>
    </row>
    <row r="38" spans="2:10" x14ac:dyDescent="0.15">
      <c r="B38" s="525" t="s">
        <v>191</v>
      </c>
      <c r="C38" s="525"/>
      <c r="D38" s="525"/>
      <c r="E38" s="525"/>
      <c r="F38" s="525"/>
      <c r="G38" s="525"/>
      <c r="H38" s="525"/>
      <c r="I38" s="525"/>
      <c r="J38" s="525"/>
    </row>
    <row r="39" spans="2:10" x14ac:dyDescent="0.15">
      <c r="B39" s="428" t="s">
        <v>89</v>
      </c>
      <c r="C39" s="455" t="s">
        <v>727</v>
      </c>
      <c r="D39" s="455"/>
      <c r="E39" s="455"/>
      <c r="F39" s="130" t="s">
        <v>90</v>
      </c>
      <c r="G39" s="459" t="s">
        <v>728</v>
      </c>
      <c r="H39" s="459"/>
      <c r="I39" s="130" t="s">
        <v>91</v>
      </c>
      <c r="J39" s="429" t="s">
        <v>730</v>
      </c>
    </row>
    <row r="40" spans="2:10" x14ac:dyDescent="0.15">
      <c r="B40" s="130" t="s">
        <v>113</v>
      </c>
      <c r="C40" s="131" t="s">
        <v>729</v>
      </c>
      <c r="D40" s="132" t="s">
        <v>114</v>
      </c>
      <c r="E40" s="133" t="s">
        <v>296</v>
      </c>
      <c r="F40" s="132" t="s">
        <v>363</v>
      </c>
      <c r="G40" s="533" t="s">
        <v>727</v>
      </c>
      <c r="H40" s="533"/>
      <c r="I40" s="134" t="s">
        <v>117</v>
      </c>
      <c r="J40" s="281" t="s">
        <v>364</v>
      </c>
    </row>
    <row r="41" spans="2:10" x14ac:dyDescent="0.15">
      <c r="B41" s="130" t="s">
        <v>92</v>
      </c>
      <c r="C41" s="133" t="s">
        <v>296</v>
      </c>
      <c r="D41" s="132" t="s">
        <v>365</v>
      </c>
      <c r="E41" s="133">
        <v>55441</v>
      </c>
      <c r="F41" s="135" t="s">
        <v>115</v>
      </c>
      <c r="G41" s="535" t="s">
        <v>424</v>
      </c>
      <c r="H41" s="535"/>
      <c r="I41" s="135" t="s">
        <v>116</v>
      </c>
      <c r="J41" s="281" t="s">
        <v>366</v>
      </c>
    </row>
    <row r="42" spans="2:10" x14ac:dyDescent="0.15">
      <c r="B42" s="130" t="s">
        <v>156</v>
      </c>
      <c r="C42" s="280" t="s">
        <v>367</v>
      </c>
      <c r="D42" s="132" t="s">
        <v>118</v>
      </c>
      <c r="E42" s="280" t="s">
        <v>368</v>
      </c>
      <c r="F42" s="132" t="s">
        <v>93</v>
      </c>
      <c r="G42" s="533" t="s">
        <v>369</v>
      </c>
      <c r="H42" s="533"/>
      <c r="I42" s="533"/>
      <c r="J42" s="533"/>
    </row>
    <row r="43" spans="2:10" x14ac:dyDescent="0.15">
      <c r="B43" s="130" t="s">
        <v>172</v>
      </c>
      <c r="C43" s="452" t="s">
        <v>296</v>
      </c>
      <c r="D43" s="453"/>
      <c r="E43" s="453"/>
      <c r="F43" s="453"/>
      <c r="G43" s="453"/>
      <c r="H43" s="453"/>
      <c r="I43" s="453"/>
      <c r="J43" s="453"/>
    </row>
    <row r="44" spans="2:10" ht="24" x14ac:dyDescent="0.15">
      <c r="B44" s="418" t="s">
        <v>731</v>
      </c>
      <c r="C44" s="452" t="s">
        <v>296</v>
      </c>
      <c r="D44" s="453"/>
      <c r="E44" s="453"/>
      <c r="F44" s="453"/>
      <c r="G44" s="453"/>
      <c r="H44" s="453"/>
      <c r="I44" s="453"/>
      <c r="J44" s="453"/>
    </row>
    <row r="45" spans="2:10" x14ac:dyDescent="0.15">
      <c r="B45" s="432" t="s">
        <v>196</v>
      </c>
      <c r="C45" s="432"/>
      <c r="D45" s="432"/>
      <c r="E45" s="432"/>
      <c r="F45" s="432"/>
      <c r="G45" s="432"/>
      <c r="H45" s="432"/>
      <c r="I45" s="432"/>
      <c r="J45" s="432"/>
    </row>
    <row r="46" spans="2:10" x14ac:dyDescent="0.15">
      <c r="B46" s="451" t="s">
        <v>732</v>
      </c>
      <c r="C46" s="451"/>
      <c r="D46" s="451"/>
      <c r="E46" s="451"/>
      <c r="F46" s="451"/>
      <c r="G46" s="451"/>
      <c r="H46" s="451"/>
      <c r="I46" s="451"/>
      <c r="J46" s="451"/>
    </row>
    <row r="47" spans="2:10" x14ac:dyDescent="0.15">
      <c r="B47" s="432" t="s">
        <v>224</v>
      </c>
      <c r="C47" s="432"/>
      <c r="D47" s="432"/>
      <c r="E47" s="432"/>
      <c r="F47" s="432"/>
      <c r="G47" s="432"/>
      <c r="H47" s="432"/>
      <c r="I47" s="432"/>
      <c r="J47" s="432"/>
    </row>
    <row r="48" spans="2:10" x14ac:dyDescent="0.15">
      <c r="B48" s="136" t="s">
        <v>123</v>
      </c>
      <c r="C48" s="448" t="s">
        <v>296</v>
      </c>
      <c r="D48" s="448"/>
      <c r="E48" s="448"/>
      <c r="F48" s="448"/>
      <c r="G48" s="448"/>
      <c r="H48" s="448"/>
      <c r="I48" s="448"/>
      <c r="J48" s="448"/>
    </row>
    <row r="49" spans="2:11" x14ac:dyDescent="0.15">
      <c r="B49" s="136" t="s">
        <v>124</v>
      </c>
      <c r="C49" s="445" t="s">
        <v>296</v>
      </c>
      <c r="D49" s="445"/>
      <c r="E49" s="445"/>
      <c r="F49" s="445"/>
      <c r="G49" s="445"/>
      <c r="H49" s="445"/>
      <c r="I49" s="445"/>
      <c r="J49" s="445"/>
    </row>
    <row r="50" spans="2:11" x14ac:dyDescent="0.15">
      <c r="B50" s="136" t="s">
        <v>125</v>
      </c>
      <c r="C50" s="452" t="s">
        <v>704</v>
      </c>
      <c r="D50" s="453"/>
      <c r="E50" s="453"/>
      <c r="F50" s="453"/>
      <c r="G50" s="453"/>
      <c r="H50" s="453"/>
      <c r="I50" s="453"/>
      <c r="J50" s="453"/>
    </row>
    <row r="51" spans="2:11" x14ac:dyDescent="0.15">
      <c r="B51" s="433" t="s">
        <v>197</v>
      </c>
      <c r="C51" s="433"/>
      <c r="D51" s="433"/>
      <c r="E51" s="433"/>
      <c r="F51" s="433"/>
      <c r="G51" s="433"/>
      <c r="H51" s="433"/>
      <c r="I51" s="433"/>
      <c r="J51" s="433"/>
      <c r="K51" s="433"/>
    </row>
    <row r="52" spans="2:11" x14ac:dyDescent="0.15">
      <c r="B52" s="420"/>
      <c r="C52" s="370">
        <v>2005</v>
      </c>
      <c r="D52" s="370"/>
      <c r="E52" s="537">
        <v>2006</v>
      </c>
      <c r="F52" s="537"/>
      <c r="G52" s="537">
        <v>2007</v>
      </c>
      <c r="H52" s="537"/>
      <c r="I52" s="537">
        <v>2008</v>
      </c>
      <c r="J52" s="537"/>
      <c r="K52" s="421">
        <v>2009</v>
      </c>
    </row>
    <row r="53" spans="2:11" x14ac:dyDescent="0.15">
      <c r="B53" s="422"/>
      <c r="C53" s="355" t="s">
        <v>126</v>
      </c>
      <c r="D53" s="355" t="s">
        <v>127</v>
      </c>
      <c r="E53" s="355" t="s">
        <v>126</v>
      </c>
      <c r="F53" s="355" t="s">
        <v>127</v>
      </c>
      <c r="G53" s="355" t="s">
        <v>126</v>
      </c>
      <c r="H53" s="355" t="s">
        <v>127</v>
      </c>
      <c r="I53" s="355" t="s">
        <v>126</v>
      </c>
      <c r="J53" s="355" t="s">
        <v>127</v>
      </c>
      <c r="K53" s="421" t="s">
        <v>375</v>
      </c>
    </row>
    <row r="54" spans="2:11" x14ac:dyDescent="0.15">
      <c r="B54" s="423" t="s">
        <v>128</v>
      </c>
      <c r="C54" s="357"/>
      <c r="D54" s="357">
        <v>354</v>
      </c>
      <c r="E54" s="371"/>
      <c r="F54" s="357">
        <v>213</v>
      </c>
      <c r="G54" s="357"/>
      <c r="H54" s="357">
        <v>209</v>
      </c>
      <c r="I54" s="357"/>
      <c r="J54" s="357"/>
      <c r="K54" s="424"/>
    </row>
    <row r="55" spans="2:11" x14ac:dyDescent="0.15">
      <c r="B55" s="423" t="s">
        <v>0</v>
      </c>
      <c r="C55" s="357"/>
      <c r="D55" s="357">
        <v>60</v>
      </c>
      <c r="E55" s="371"/>
      <c r="F55" s="357">
        <v>90</v>
      </c>
      <c r="G55" s="357"/>
      <c r="H55" s="357">
        <v>90</v>
      </c>
      <c r="I55" s="357">
        <v>204</v>
      </c>
      <c r="J55" s="357">
        <v>204</v>
      </c>
      <c r="K55" s="424">
        <v>240</v>
      </c>
    </row>
    <row r="56" spans="2:11" x14ac:dyDescent="0.15">
      <c r="B56" s="423" t="s">
        <v>364</v>
      </c>
      <c r="C56" s="357"/>
      <c r="D56" s="372">
        <v>3145</v>
      </c>
      <c r="E56" s="373"/>
      <c r="F56" s="372">
        <v>3245</v>
      </c>
      <c r="G56" s="372"/>
      <c r="H56" s="372">
        <v>3169</v>
      </c>
      <c r="I56" s="372">
        <v>3500</v>
      </c>
      <c r="J56" s="372">
        <v>3500</v>
      </c>
      <c r="K56" s="424">
        <v>3455</v>
      </c>
    </row>
    <row r="57" spans="2:11" ht="24" x14ac:dyDescent="0.15">
      <c r="B57" s="423" t="s">
        <v>370</v>
      </c>
      <c r="C57" s="356"/>
      <c r="D57" s="357"/>
      <c r="E57" s="357"/>
      <c r="F57" s="357"/>
      <c r="G57" s="357"/>
      <c r="H57" s="357"/>
      <c r="I57" s="357"/>
      <c r="J57" s="357"/>
      <c r="K57" s="357"/>
    </row>
    <row r="58" spans="2:11" x14ac:dyDescent="0.15">
      <c r="B58" s="423" t="s">
        <v>129</v>
      </c>
      <c r="C58" s="356"/>
      <c r="D58" s="357">
        <v>4200</v>
      </c>
      <c r="E58" s="358"/>
      <c r="F58" s="357">
        <v>4000</v>
      </c>
      <c r="G58" s="357"/>
      <c r="H58" s="357">
        <v>3500</v>
      </c>
      <c r="I58" s="357">
        <v>3500</v>
      </c>
      <c r="J58" s="357"/>
      <c r="K58" s="424">
        <v>3500</v>
      </c>
    </row>
    <row r="59" spans="2:11" x14ac:dyDescent="0.15">
      <c r="B59" s="136" t="s">
        <v>130</v>
      </c>
      <c r="C59" s="454"/>
      <c r="D59" s="454"/>
      <c r="E59" s="454"/>
      <c r="F59" s="454"/>
      <c r="G59" s="454">
        <v>14230</v>
      </c>
      <c r="H59" s="454"/>
      <c r="I59" s="454">
        <v>14791</v>
      </c>
      <c r="J59" s="454"/>
      <c r="K59" s="265">
        <v>15200</v>
      </c>
    </row>
    <row r="60" spans="2:11" x14ac:dyDescent="0.15">
      <c r="B60" s="136" t="s">
        <v>131</v>
      </c>
      <c r="C60" s="534" t="s">
        <v>1</v>
      </c>
      <c r="D60" s="534"/>
      <c r="E60" s="360" t="s">
        <v>371</v>
      </c>
      <c r="F60" s="534" t="s">
        <v>2</v>
      </c>
      <c r="G60" s="534"/>
      <c r="H60" s="360" t="s">
        <v>372</v>
      </c>
      <c r="I60" s="544">
        <v>0.22</v>
      </c>
      <c r="J60" s="534"/>
      <c r="K60" s="265"/>
    </row>
    <row r="61" spans="2:11" x14ac:dyDescent="0.15">
      <c r="B61" s="419" t="s">
        <v>173</v>
      </c>
      <c r="C61" s="536" t="s">
        <v>587</v>
      </c>
      <c r="D61" s="536"/>
      <c r="E61" s="359" t="s">
        <v>373</v>
      </c>
      <c r="F61" s="538">
        <v>0.91</v>
      </c>
      <c r="G61" s="539"/>
      <c r="H61" s="359" t="s">
        <v>374</v>
      </c>
      <c r="I61" s="540">
        <v>0.99</v>
      </c>
      <c r="J61" s="536"/>
    </row>
    <row r="62" spans="2:11" x14ac:dyDescent="0.15">
      <c r="B62" s="433" t="s">
        <v>226</v>
      </c>
      <c r="C62" s="433"/>
      <c r="D62" s="433"/>
      <c r="E62" s="433"/>
      <c r="F62" s="433"/>
      <c r="G62" s="433"/>
      <c r="H62" s="433"/>
      <c r="I62" s="433"/>
      <c r="J62" s="433"/>
    </row>
    <row r="63" spans="2:11" ht="35.25" customHeight="1" x14ac:dyDescent="0.15">
      <c r="B63" s="543" t="s">
        <v>733</v>
      </c>
      <c r="C63" s="543"/>
      <c r="D63" s="543"/>
      <c r="E63" s="543"/>
      <c r="F63" s="543"/>
      <c r="G63" s="543"/>
      <c r="H63" s="543"/>
      <c r="I63" s="543"/>
      <c r="J63" s="543"/>
    </row>
    <row r="64" spans="2:11" x14ac:dyDescent="0.15">
      <c r="B64" s="433" t="s">
        <v>225</v>
      </c>
      <c r="C64" s="433"/>
      <c r="D64" s="433"/>
      <c r="E64" s="433"/>
      <c r="F64" s="433"/>
      <c r="G64" s="433"/>
      <c r="H64" s="433"/>
      <c r="I64" s="433"/>
      <c r="J64" s="433"/>
    </row>
    <row r="65" spans="2:11" x14ac:dyDescent="0.15">
      <c r="B65" s="136" t="s">
        <v>220</v>
      </c>
      <c r="C65" s="267">
        <v>2007</v>
      </c>
      <c r="D65" s="268" t="s">
        <v>221</v>
      </c>
      <c r="E65" s="23" t="s">
        <v>3</v>
      </c>
      <c r="F65" s="268" t="s">
        <v>222</v>
      </c>
      <c r="G65" s="459"/>
      <c r="H65" s="459"/>
      <c r="I65" s="459"/>
      <c r="J65" s="459"/>
    </row>
    <row r="66" spans="2:11" x14ac:dyDescent="0.15">
      <c r="B66" s="433" t="s">
        <v>195</v>
      </c>
      <c r="C66" s="433"/>
      <c r="D66" s="433"/>
      <c r="E66" s="433"/>
      <c r="F66" s="433"/>
      <c r="G66" s="433"/>
      <c r="H66" s="433"/>
      <c r="I66" s="433"/>
      <c r="J66" s="433"/>
    </row>
    <row r="67" spans="2:11" x14ac:dyDescent="0.15">
      <c r="B67" s="433" t="s">
        <v>294</v>
      </c>
      <c r="C67" s="433"/>
      <c r="D67" s="433"/>
      <c r="E67" s="433"/>
      <c r="F67" s="433"/>
      <c r="G67" s="433"/>
      <c r="H67" s="433"/>
      <c r="I67" s="433"/>
      <c r="J67" s="433"/>
    </row>
    <row r="68" spans="2:11" x14ac:dyDescent="0.15">
      <c r="B68" s="136" t="s">
        <v>295</v>
      </c>
      <c r="C68" s="545">
        <v>39813</v>
      </c>
      <c r="D68" s="545"/>
      <c r="E68" s="545"/>
      <c r="F68" s="545"/>
      <c r="G68" s="545"/>
      <c r="H68" s="545"/>
      <c r="I68" s="545"/>
      <c r="J68" s="545"/>
    </row>
    <row r="69" spans="2:11" x14ac:dyDescent="0.15">
      <c r="B69" s="432" t="s">
        <v>236</v>
      </c>
      <c r="C69" s="547" t="s">
        <v>4</v>
      </c>
      <c r="D69" s="547"/>
      <c r="E69" s="547"/>
      <c r="F69" s="547"/>
      <c r="G69" s="547"/>
      <c r="H69" s="547"/>
      <c r="I69" s="547"/>
      <c r="J69" s="547"/>
    </row>
    <row r="70" spans="2:11" x14ac:dyDescent="0.15">
      <c r="B70" s="433"/>
      <c r="C70" s="542" t="s">
        <v>133</v>
      </c>
      <c r="D70" s="542"/>
      <c r="E70" s="542" t="s">
        <v>134</v>
      </c>
      <c r="F70" s="542"/>
      <c r="G70" s="542"/>
      <c r="H70" s="542"/>
      <c r="I70" s="268" t="s">
        <v>132</v>
      </c>
      <c r="J70" s="268" t="s">
        <v>135</v>
      </c>
      <c r="K70" s="276" t="s">
        <v>16</v>
      </c>
    </row>
    <row r="71" spans="2:11" x14ac:dyDescent="0.15">
      <c r="B71" s="433"/>
      <c r="C71" s="445"/>
      <c r="D71" s="445"/>
      <c r="E71" s="444"/>
      <c r="F71" s="444"/>
      <c r="G71" s="444"/>
      <c r="H71" s="444"/>
      <c r="I71" s="137" t="s">
        <v>5</v>
      </c>
      <c r="J71" s="22">
        <v>5000</v>
      </c>
      <c r="K71" s="279" t="s">
        <v>14</v>
      </c>
    </row>
    <row r="72" spans="2:11" x14ac:dyDescent="0.15">
      <c r="B72" s="433"/>
      <c r="C72" s="445"/>
      <c r="D72" s="445"/>
      <c r="E72" s="444"/>
      <c r="F72" s="444"/>
      <c r="G72" s="444"/>
      <c r="H72" s="444"/>
      <c r="I72" s="137" t="s">
        <v>6</v>
      </c>
      <c r="J72" s="22">
        <v>200</v>
      </c>
      <c r="K72" s="279" t="s">
        <v>14</v>
      </c>
    </row>
    <row r="73" spans="2:11" x14ac:dyDescent="0.15">
      <c r="B73" s="433"/>
      <c r="C73" s="445"/>
      <c r="D73" s="445"/>
      <c r="E73" s="444"/>
      <c r="F73" s="444"/>
      <c r="G73" s="444"/>
      <c r="H73" s="444"/>
      <c r="I73" s="137" t="s">
        <v>7</v>
      </c>
      <c r="J73" s="22">
        <v>300</v>
      </c>
      <c r="K73" s="279" t="s">
        <v>14</v>
      </c>
    </row>
    <row r="74" spans="2:11" x14ac:dyDescent="0.15">
      <c r="B74" s="433"/>
      <c r="C74" s="445"/>
      <c r="D74" s="445"/>
      <c r="E74" s="444"/>
      <c r="F74" s="444"/>
      <c r="G74" s="444"/>
      <c r="H74" s="444"/>
      <c r="I74" s="137" t="s">
        <v>8</v>
      </c>
      <c r="J74" s="22">
        <v>450</v>
      </c>
      <c r="K74" s="279" t="s">
        <v>14</v>
      </c>
    </row>
    <row r="75" spans="2:11" x14ac:dyDescent="0.15">
      <c r="B75" s="433"/>
      <c r="C75" s="445"/>
      <c r="D75" s="445"/>
      <c r="E75" s="444"/>
      <c r="F75" s="444"/>
      <c r="G75" s="444"/>
      <c r="H75" s="444"/>
      <c r="I75" s="137" t="s">
        <v>9</v>
      </c>
      <c r="J75" s="22">
        <v>200</v>
      </c>
      <c r="K75" s="279" t="s">
        <v>14</v>
      </c>
    </row>
    <row r="76" spans="2:11" x14ac:dyDescent="0.15">
      <c r="B76" s="433"/>
      <c r="C76" s="445"/>
      <c r="D76" s="445"/>
      <c r="E76" s="444"/>
      <c r="F76" s="444"/>
      <c r="G76" s="444"/>
      <c r="H76" s="444"/>
      <c r="I76" s="137" t="s">
        <v>10</v>
      </c>
      <c r="J76" s="22">
        <v>180</v>
      </c>
      <c r="K76" s="279" t="s">
        <v>14</v>
      </c>
    </row>
    <row r="77" spans="2:11" x14ac:dyDescent="0.15">
      <c r="B77" s="433"/>
      <c r="C77" s="445"/>
      <c r="D77" s="445"/>
      <c r="E77" s="444"/>
      <c r="F77" s="444"/>
      <c r="G77" s="444"/>
      <c r="H77" s="444"/>
      <c r="I77" s="137" t="s">
        <v>11</v>
      </c>
      <c r="J77" s="22">
        <v>430</v>
      </c>
      <c r="K77" s="279" t="s">
        <v>14</v>
      </c>
    </row>
    <row r="78" spans="2:11" x14ac:dyDescent="0.15">
      <c r="B78" s="433"/>
      <c r="C78" s="445"/>
      <c r="D78" s="445"/>
      <c r="E78" s="444"/>
      <c r="F78" s="444"/>
      <c r="G78" s="444"/>
      <c r="H78" s="444"/>
      <c r="I78" s="137" t="s">
        <v>12</v>
      </c>
      <c r="J78" s="22">
        <v>80</v>
      </c>
      <c r="K78" s="279" t="s">
        <v>15</v>
      </c>
    </row>
    <row r="79" spans="2:11" x14ac:dyDescent="0.15">
      <c r="B79" s="433"/>
      <c r="C79" s="445"/>
      <c r="D79" s="445"/>
      <c r="E79" s="444"/>
      <c r="F79" s="444"/>
      <c r="G79" s="444"/>
      <c r="H79" s="444"/>
      <c r="I79" s="137" t="s">
        <v>13</v>
      </c>
      <c r="J79" s="22">
        <v>1500</v>
      </c>
      <c r="K79" s="279" t="s">
        <v>15</v>
      </c>
    </row>
    <row r="80" spans="2:11" x14ac:dyDescent="0.15">
      <c r="B80" s="433"/>
      <c r="C80" s="445"/>
      <c r="D80" s="445"/>
      <c r="E80" s="444"/>
      <c r="F80" s="444"/>
      <c r="G80" s="444"/>
      <c r="H80" s="444"/>
      <c r="I80" s="137" t="s">
        <v>13</v>
      </c>
      <c r="J80" s="22">
        <v>70</v>
      </c>
      <c r="K80" s="279" t="s">
        <v>15</v>
      </c>
    </row>
    <row r="81" spans="2:11" x14ac:dyDescent="0.15">
      <c r="B81" s="433"/>
      <c r="C81" s="445"/>
      <c r="D81" s="445"/>
      <c r="E81" s="444"/>
      <c r="F81" s="444"/>
      <c r="G81" s="444"/>
      <c r="H81" s="444"/>
      <c r="I81" s="137" t="s">
        <v>13</v>
      </c>
      <c r="J81" s="22">
        <v>3000</v>
      </c>
      <c r="K81" s="279" t="s">
        <v>15</v>
      </c>
    </row>
    <row r="82" spans="2:11" x14ac:dyDescent="0.15">
      <c r="B82" s="433"/>
      <c r="C82" s="445"/>
      <c r="D82" s="445"/>
      <c r="E82" s="444"/>
      <c r="F82" s="444"/>
      <c r="G82" s="444"/>
      <c r="H82" s="444"/>
      <c r="I82" s="137" t="s">
        <v>13</v>
      </c>
      <c r="J82" s="22">
        <v>240</v>
      </c>
      <c r="K82" s="279" t="s">
        <v>15</v>
      </c>
    </row>
    <row r="83" spans="2:11" x14ac:dyDescent="0.15">
      <c r="B83" s="433"/>
      <c r="C83" s="445"/>
      <c r="D83" s="445"/>
      <c r="E83" s="444"/>
      <c r="F83" s="444"/>
      <c r="G83" s="444"/>
      <c r="H83" s="444"/>
      <c r="I83" s="137" t="s">
        <v>13</v>
      </c>
      <c r="J83" s="22">
        <v>180</v>
      </c>
      <c r="K83" s="279" t="s">
        <v>15</v>
      </c>
    </row>
    <row r="84" spans="2:11" x14ac:dyDescent="0.15">
      <c r="B84" s="433"/>
      <c r="C84" s="541"/>
      <c r="D84" s="541"/>
      <c r="E84" s="444"/>
      <c r="F84" s="444"/>
      <c r="G84" s="444"/>
      <c r="H84" s="444"/>
      <c r="I84" s="137" t="s">
        <v>13</v>
      </c>
      <c r="J84" s="22">
        <v>12</v>
      </c>
      <c r="K84" s="279" t="s">
        <v>15</v>
      </c>
    </row>
    <row r="85" spans="2:11" x14ac:dyDescent="0.15">
      <c r="B85" s="433"/>
      <c r="C85" s="541"/>
      <c r="D85" s="541"/>
      <c r="E85" s="444"/>
      <c r="F85" s="444"/>
      <c r="G85" s="444"/>
      <c r="H85" s="444"/>
      <c r="I85" s="137" t="s">
        <v>13</v>
      </c>
      <c r="J85" s="22">
        <v>300</v>
      </c>
      <c r="K85" s="279" t="s">
        <v>15</v>
      </c>
    </row>
    <row r="86" spans="2:11" x14ac:dyDescent="0.15">
      <c r="B86" s="433"/>
      <c r="C86" s="541"/>
      <c r="D86" s="541"/>
      <c r="E86" s="444"/>
      <c r="F86" s="444"/>
      <c r="G86" s="444"/>
      <c r="H86" s="444"/>
      <c r="I86" s="137" t="s">
        <v>13</v>
      </c>
      <c r="J86" s="22">
        <v>1300</v>
      </c>
      <c r="K86" s="279" t="s">
        <v>15</v>
      </c>
    </row>
    <row r="87" spans="2:11" x14ac:dyDescent="0.15">
      <c r="B87" s="433"/>
      <c r="C87" s="541"/>
      <c r="D87" s="541"/>
      <c r="E87" s="444"/>
      <c r="F87" s="444"/>
      <c r="G87" s="444"/>
      <c r="H87" s="444"/>
      <c r="I87" s="137"/>
      <c r="J87" s="22"/>
    </row>
    <row r="88" spans="2:11" x14ac:dyDescent="0.15">
      <c r="B88" s="433"/>
      <c r="C88" s="443" t="s">
        <v>394</v>
      </c>
      <c r="D88" s="443"/>
      <c r="E88" s="443"/>
      <c r="F88" s="443"/>
      <c r="G88" s="443"/>
      <c r="H88" s="443"/>
      <c r="I88" s="443"/>
      <c r="J88" s="22">
        <f>SUM(J71:J87)</f>
        <v>13442</v>
      </c>
    </row>
    <row r="89" spans="2:11" x14ac:dyDescent="0.15">
      <c r="B89" s="268"/>
      <c r="C89" s="443" t="s">
        <v>602</v>
      </c>
      <c r="D89" s="443"/>
      <c r="E89" s="443"/>
      <c r="F89" s="443"/>
      <c r="G89" s="443"/>
      <c r="H89" s="443"/>
      <c r="I89" s="443"/>
      <c r="J89" s="443"/>
    </row>
    <row r="90" spans="2:11" x14ac:dyDescent="0.15">
      <c r="B90" s="432" t="s">
        <v>265</v>
      </c>
      <c r="C90" s="415">
        <v>2006</v>
      </c>
      <c r="D90" s="415">
        <v>2007</v>
      </c>
      <c r="E90" s="415">
        <v>2008</v>
      </c>
      <c r="F90" s="415" t="s">
        <v>17</v>
      </c>
      <c r="G90" s="431" t="s">
        <v>264</v>
      </c>
      <c r="H90" s="431"/>
      <c r="I90" s="431"/>
      <c r="J90" s="431"/>
    </row>
    <row r="91" spans="2:11" ht="37.5" customHeight="1" x14ac:dyDescent="0.15">
      <c r="B91" s="433"/>
      <c r="C91" s="90">
        <v>9941</v>
      </c>
      <c r="D91" s="90">
        <v>12581</v>
      </c>
      <c r="E91" s="90">
        <v>10242</v>
      </c>
      <c r="F91" s="90">
        <v>10319</v>
      </c>
      <c r="G91" s="430" t="s">
        <v>734</v>
      </c>
      <c r="H91" s="430"/>
      <c r="I91" s="430"/>
      <c r="J91" s="430"/>
    </row>
    <row r="92" spans="2:11" x14ac:dyDescent="0.15">
      <c r="B92" s="433" t="s">
        <v>287</v>
      </c>
      <c r="C92" s="415"/>
      <c r="D92" s="415">
        <v>2006</v>
      </c>
      <c r="E92" s="415">
        <v>2007</v>
      </c>
      <c r="F92" s="415">
        <v>2008</v>
      </c>
      <c r="G92" s="415" t="s">
        <v>399</v>
      </c>
      <c r="H92" s="430" t="s">
        <v>264</v>
      </c>
      <c r="I92" s="430"/>
      <c r="J92" s="430"/>
    </row>
    <row r="93" spans="2:11" x14ac:dyDescent="0.15">
      <c r="B93" s="433"/>
      <c r="C93" s="138" t="s">
        <v>287</v>
      </c>
      <c r="D93" s="90">
        <f>'行政－资产负债表 '!B14</f>
        <v>47910.453152999995</v>
      </c>
      <c r="E93" s="90">
        <f>'行政－资产负债表 '!D14</f>
        <v>54801.517092999995</v>
      </c>
      <c r="F93" s="90">
        <f>'行政－资产负债表 '!F14</f>
        <v>56221.814080999997</v>
      </c>
      <c r="G93" s="90">
        <f>'行政－资产负债表 '!H16</f>
        <v>157896.68912600001</v>
      </c>
      <c r="H93" s="430" t="s">
        <v>19</v>
      </c>
      <c r="I93" s="430"/>
      <c r="J93" s="430"/>
    </row>
    <row r="94" spans="2:11" x14ac:dyDescent="0.15">
      <c r="B94" s="433"/>
      <c r="C94" s="139" t="s">
        <v>288</v>
      </c>
      <c r="D94" s="90"/>
      <c r="E94" s="90"/>
      <c r="F94" s="90">
        <v>36443</v>
      </c>
      <c r="G94" s="90">
        <v>36443</v>
      </c>
      <c r="H94" s="430"/>
      <c r="I94" s="430"/>
      <c r="J94" s="430"/>
    </row>
    <row r="95" spans="2:11" x14ac:dyDescent="0.15">
      <c r="B95" s="433"/>
      <c r="C95" s="139" t="s">
        <v>289</v>
      </c>
      <c r="D95" s="90"/>
      <c r="E95" s="90"/>
      <c r="F95" s="90"/>
      <c r="G95" s="90"/>
      <c r="H95" s="430"/>
      <c r="I95" s="430"/>
      <c r="J95" s="430"/>
    </row>
    <row r="96" spans="2:11" x14ac:dyDescent="0.15">
      <c r="B96" s="433"/>
      <c r="C96" s="139" t="s">
        <v>290</v>
      </c>
      <c r="D96" s="90"/>
      <c r="E96" s="90">
        <f>F96-349</f>
        <v>2992</v>
      </c>
      <c r="F96" s="90">
        <v>3341</v>
      </c>
      <c r="G96" s="90">
        <v>3340</v>
      </c>
      <c r="H96" s="430"/>
      <c r="I96" s="430"/>
      <c r="J96" s="430"/>
    </row>
    <row r="97" spans="2:10" x14ac:dyDescent="0.15">
      <c r="B97" s="433"/>
      <c r="C97" s="139" t="s">
        <v>291</v>
      </c>
      <c r="D97" s="90"/>
      <c r="E97" s="90">
        <f>F97-1000</f>
        <v>11050</v>
      </c>
      <c r="F97" s="90">
        <v>12050</v>
      </c>
      <c r="G97" s="90">
        <v>12207</v>
      </c>
      <c r="H97" s="430"/>
      <c r="I97" s="430"/>
      <c r="J97" s="430"/>
    </row>
    <row r="98" spans="2:10" x14ac:dyDescent="0.15">
      <c r="B98" s="433"/>
      <c r="C98" s="139" t="s">
        <v>292</v>
      </c>
      <c r="D98" s="90"/>
      <c r="E98" s="90">
        <v>2127</v>
      </c>
      <c r="F98" s="90">
        <v>2350</v>
      </c>
      <c r="G98" s="90">
        <v>2398</v>
      </c>
      <c r="H98" s="430"/>
      <c r="I98" s="430"/>
      <c r="J98" s="430"/>
    </row>
    <row r="99" spans="2:10" x14ac:dyDescent="0.15">
      <c r="B99" s="432" t="s">
        <v>266</v>
      </c>
      <c r="C99" s="415">
        <v>2006</v>
      </c>
      <c r="D99" s="415">
        <v>2007</v>
      </c>
      <c r="E99" s="415">
        <v>2008</v>
      </c>
      <c r="F99" s="415" t="s">
        <v>399</v>
      </c>
      <c r="G99" s="431" t="s">
        <v>264</v>
      </c>
      <c r="H99" s="431"/>
      <c r="I99" s="431"/>
      <c r="J99" s="431"/>
    </row>
    <row r="100" spans="2:10" ht="81" customHeight="1" x14ac:dyDescent="0.15">
      <c r="B100" s="432"/>
      <c r="C100" s="90">
        <f>'行政－资产负债表 '!B24</f>
        <v>3055.298354</v>
      </c>
      <c r="D100" s="90">
        <f>'行政－资产负债表 '!D24</f>
        <v>8654.4277000000002</v>
      </c>
      <c r="E100" s="90">
        <v>3826</v>
      </c>
      <c r="F100" s="90">
        <v>5499</v>
      </c>
      <c r="G100" s="451" t="s">
        <v>735</v>
      </c>
      <c r="H100" s="451"/>
      <c r="I100" s="451"/>
      <c r="J100" s="451"/>
    </row>
    <row r="101" spans="2:10" ht="24" customHeight="1" x14ac:dyDescent="0.15">
      <c r="B101" s="432" t="s">
        <v>136</v>
      </c>
      <c r="C101" s="430" t="s">
        <v>736</v>
      </c>
      <c r="D101" s="430"/>
      <c r="E101" s="430"/>
      <c r="F101" s="430"/>
      <c r="G101" s="430"/>
      <c r="H101" s="430"/>
      <c r="I101" s="430"/>
      <c r="J101" s="430"/>
    </row>
    <row r="102" spans="2:10" x14ac:dyDescent="0.15">
      <c r="B102" s="432"/>
      <c r="C102" s="430"/>
      <c r="D102" s="430"/>
      <c r="E102" s="430"/>
      <c r="F102" s="430"/>
      <c r="G102" s="430"/>
      <c r="H102" s="430"/>
      <c r="I102" s="430"/>
      <c r="J102" s="430"/>
    </row>
    <row r="103" spans="2:10" x14ac:dyDescent="0.15">
      <c r="B103" s="433" t="s">
        <v>65</v>
      </c>
      <c r="C103" s="442" t="s">
        <v>707</v>
      </c>
      <c r="D103" s="430"/>
      <c r="E103" s="430"/>
      <c r="F103" s="430"/>
      <c r="G103" s="430"/>
      <c r="H103" s="430"/>
      <c r="I103" s="430"/>
      <c r="J103" s="430"/>
    </row>
    <row r="104" spans="2:10" x14ac:dyDescent="0.15">
      <c r="B104" s="433"/>
      <c r="C104" s="442" t="s">
        <v>267</v>
      </c>
      <c r="D104" s="430"/>
      <c r="E104" s="430"/>
      <c r="F104" s="430"/>
      <c r="G104" s="430"/>
      <c r="H104" s="430"/>
      <c r="I104" s="430"/>
      <c r="J104" s="430"/>
    </row>
    <row r="105" spans="2:10" x14ac:dyDescent="0.15">
      <c r="B105" s="433"/>
      <c r="C105" s="442" t="s">
        <v>425</v>
      </c>
      <c r="D105" s="430"/>
      <c r="E105" s="430"/>
      <c r="F105" s="430"/>
      <c r="G105" s="430"/>
      <c r="H105" s="430"/>
      <c r="I105" s="430"/>
      <c r="J105" s="430"/>
    </row>
    <row r="106" spans="2:10" x14ac:dyDescent="0.15">
      <c r="B106" s="433"/>
      <c r="C106" s="415"/>
      <c r="D106" s="415">
        <v>2006</v>
      </c>
      <c r="E106" s="415">
        <v>2007</v>
      </c>
      <c r="F106" s="415">
        <v>2008</v>
      </c>
      <c r="G106" s="416" t="s">
        <v>268</v>
      </c>
      <c r="H106" s="431" t="s">
        <v>264</v>
      </c>
      <c r="I106" s="431"/>
      <c r="J106" s="431"/>
    </row>
    <row r="107" spans="2:10" x14ac:dyDescent="0.15">
      <c r="B107" s="433"/>
      <c r="C107" s="417" t="s">
        <v>158</v>
      </c>
      <c r="D107" s="90">
        <f>'行政－收支明细表'!B3</f>
        <v>17362.528808000003</v>
      </c>
      <c r="E107" s="90">
        <f>'行政－收支明细表'!D3</f>
        <v>20488.759170000001</v>
      </c>
      <c r="F107" s="90">
        <f>'行政－收支明细表'!F3</f>
        <v>23090.739102999996</v>
      </c>
      <c r="G107" s="90"/>
      <c r="H107" s="430" t="s">
        <v>737</v>
      </c>
      <c r="I107" s="430"/>
      <c r="J107" s="430"/>
    </row>
    <row r="108" spans="2:10" x14ac:dyDescent="0.15">
      <c r="B108" s="433"/>
      <c r="C108" s="417" t="s">
        <v>106</v>
      </c>
      <c r="D108" s="90">
        <f>'行政－收支明细表'!B4</f>
        <v>7933.1751900000008</v>
      </c>
      <c r="E108" s="90">
        <f>'行政－收支明细表'!D4</f>
        <v>7560.8050599999997</v>
      </c>
      <c r="F108" s="90">
        <f>'行政－收支明细表'!F4</f>
        <v>9710.8856200000009</v>
      </c>
      <c r="G108" s="90"/>
      <c r="H108" s="430"/>
      <c r="I108" s="430"/>
      <c r="J108" s="430"/>
    </row>
    <row r="109" spans="2:10" x14ac:dyDescent="0.15">
      <c r="B109" s="433"/>
      <c r="C109" s="417" t="s">
        <v>269</v>
      </c>
      <c r="D109" s="90">
        <f>'行政－收支明细表'!B5</f>
        <v>8976.2486900000004</v>
      </c>
      <c r="E109" s="90">
        <f>'行政－收支明细表'!D5</f>
        <v>12508.54687</v>
      </c>
      <c r="F109" s="90">
        <f>'行政－收支明细表'!F5</f>
        <v>12246.008909999999</v>
      </c>
      <c r="G109" s="90"/>
      <c r="H109" s="430"/>
      <c r="I109" s="430"/>
      <c r="J109" s="430"/>
    </row>
    <row r="110" spans="2:10" x14ac:dyDescent="0.15">
      <c r="B110" s="433"/>
      <c r="C110" s="417" t="s">
        <v>186</v>
      </c>
      <c r="D110" s="90">
        <f>'行政－收支明细表'!B8</f>
        <v>453.10492800000003</v>
      </c>
      <c r="E110" s="90">
        <f>'行政－收支明细表'!D8</f>
        <v>419.40724</v>
      </c>
      <c r="F110" s="90">
        <f>'行政－收支明细表'!F8</f>
        <v>1133.8445730000001</v>
      </c>
      <c r="G110" s="90"/>
      <c r="H110" s="430"/>
      <c r="I110" s="430"/>
      <c r="J110" s="430"/>
    </row>
    <row r="111" spans="2:10" x14ac:dyDescent="0.15">
      <c r="B111" s="433"/>
      <c r="C111" s="417" t="s">
        <v>270</v>
      </c>
      <c r="D111" s="430"/>
      <c r="E111" s="430"/>
      <c r="F111" s="430"/>
      <c r="G111" s="430"/>
      <c r="H111" s="430"/>
      <c r="I111" s="430"/>
      <c r="J111" s="430"/>
    </row>
    <row r="112" spans="2:10" x14ac:dyDescent="0.15">
      <c r="B112" s="433"/>
      <c r="C112" s="417"/>
      <c r="D112" s="415">
        <v>2006</v>
      </c>
      <c r="E112" s="415">
        <v>2007</v>
      </c>
      <c r="F112" s="415">
        <v>2008</v>
      </c>
      <c r="G112" s="548" t="s">
        <v>264</v>
      </c>
      <c r="H112" s="548"/>
      <c r="I112" s="548"/>
      <c r="J112" s="548"/>
    </row>
    <row r="113" spans="2:10" x14ac:dyDescent="0.15">
      <c r="B113" s="546" t="s">
        <v>271</v>
      </c>
      <c r="C113" s="417" t="s">
        <v>109</v>
      </c>
      <c r="D113" s="90">
        <f>'行政－收支明细表'!B10</f>
        <v>3785.19805</v>
      </c>
      <c r="E113" s="90">
        <f>'行政－收支明细表'!D10</f>
        <v>4875.9827079999995</v>
      </c>
      <c r="F113" s="90">
        <f>'行政－收支明细表'!F10</f>
        <v>4930.5018580000005</v>
      </c>
      <c r="G113" s="430" t="s">
        <v>430</v>
      </c>
      <c r="H113" s="430"/>
      <c r="I113" s="430"/>
      <c r="J113" s="430"/>
    </row>
    <row r="114" spans="2:10" x14ac:dyDescent="0.15">
      <c r="B114" s="546"/>
      <c r="C114" s="417" t="s">
        <v>272</v>
      </c>
      <c r="D114" s="90">
        <f>'行政－收支明细表'!B38</f>
        <v>4428.6009960000001</v>
      </c>
      <c r="E114" s="90">
        <f>'行政－收支明细表'!D38</f>
        <v>4400.3645100000003</v>
      </c>
      <c r="F114" s="90">
        <f>'行政－收支明细表'!F38</f>
        <v>4659.6375519999992</v>
      </c>
      <c r="G114" s="430"/>
      <c r="H114" s="430"/>
      <c r="I114" s="430"/>
      <c r="J114" s="430"/>
    </row>
    <row r="115" spans="2:10" x14ac:dyDescent="0.15">
      <c r="B115" s="546"/>
      <c r="C115" s="417" t="s">
        <v>273</v>
      </c>
      <c r="D115" s="90">
        <f>'行政－收支明细表'!B55</f>
        <v>1709.9108440000002</v>
      </c>
      <c r="E115" s="90"/>
      <c r="F115" s="90"/>
      <c r="G115" s="430"/>
      <c r="H115" s="430"/>
      <c r="I115" s="430"/>
      <c r="J115" s="430"/>
    </row>
    <row r="116" spans="2:10" x14ac:dyDescent="0.15">
      <c r="B116" s="546"/>
      <c r="C116" s="417" t="s">
        <v>274</v>
      </c>
      <c r="D116" s="90">
        <v>301</v>
      </c>
      <c r="E116" s="90">
        <v>359</v>
      </c>
      <c r="F116" s="90">
        <v>628</v>
      </c>
      <c r="G116" s="430"/>
      <c r="H116" s="430"/>
      <c r="I116" s="430"/>
      <c r="J116" s="430"/>
    </row>
    <row r="117" spans="2:10" ht="24" x14ac:dyDescent="0.15">
      <c r="B117" s="546"/>
      <c r="C117" s="138" t="s">
        <v>275</v>
      </c>
      <c r="D117" s="416" t="s">
        <v>276</v>
      </c>
      <c r="E117" s="416" t="s">
        <v>380</v>
      </c>
      <c r="F117" s="139" t="s">
        <v>380</v>
      </c>
      <c r="G117" s="430"/>
      <c r="H117" s="430"/>
      <c r="I117" s="430"/>
      <c r="J117" s="430"/>
    </row>
    <row r="118" spans="2:10" x14ac:dyDescent="0.15">
      <c r="B118" s="546"/>
      <c r="C118" s="546" t="s">
        <v>277</v>
      </c>
      <c r="D118" s="430" t="s">
        <v>20</v>
      </c>
      <c r="E118" s="430"/>
      <c r="F118" s="430"/>
      <c r="G118" s="430"/>
      <c r="H118" s="430"/>
      <c r="I118" s="430"/>
      <c r="J118" s="430"/>
    </row>
    <row r="119" spans="2:10" x14ac:dyDescent="0.15">
      <c r="B119" s="546"/>
      <c r="C119" s="546"/>
      <c r="D119" s="430"/>
      <c r="E119" s="430"/>
      <c r="F119" s="430"/>
      <c r="G119" s="430"/>
      <c r="H119" s="430"/>
      <c r="I119" s="430"/>
      <c r="J119" s="430"/>
    </row>
    <row r="120" spans="2:10" x14ac:dyDescent="0.15">
      <c r="B120" s="546" t="s">
        <v>279</v>
      </c>
      <c r="C120" s="417"/>
      <c r="D120" s="415">
        <v>2006</v>
      </c>
      <c r="E120" s="415">
        <v>2007</v>
      </c>
      <c r="F120" s="415">
        <v>2008</v>
      </c>
      <c r="G120" s="548" t="s">
        <v>264</v>
      </c>
      <c r="H120" s="548"/>
      <c r="I120" s="548"/>
      <c r="J120" s="548"/>
    </row>
    <row r="121" spans="2:10" x14ac:dyDescent="0.15">
      <c r="B121" s="546"/>
      <c r="C121" s="417" t="s">
        <v>278</v>
      </c>
      <c r="D121" s="90">
        <f>'行政－收支明细表'!B57</f>
        <v>3420.2717621000029</v>
      </c>
      <c r="E121" s="90">
        <f>'行政－收支明细表'!D57</f>
        <v>7077.9590808999992</v>
      </c>
      <c r="F121" s="90">
        <f>'行政－收支明细表'!F57</f>
        <v>8215.249599799994</v>
      </c>
      <c r="G121" s="430" t="s">
        <v>21</v>
      </c>
      <c r="H121" s="430"/>
      <c r="I121" s="430"/>
      <c r="J121" s="430"/>
    </row>
    <row r="122" spans="2:10" ht="24" x14ac:dyDescent="0.15">
      <c r="B122" s="546"/>
      <c r="C122" s="417" t="s">
        <v>280</v>
      </c>
      <c r="D122" s="32">
        <f>'行政－收支明细表'!C57</f>
        <v>0.19699156729543163</v>
      </c>
      <c r="E122" s="32">
        <f>'行政－收支明细表'!E57</f>
        <v>0.34545572146036402</v>
      </c>
      <c r="F122" s="32">
        <f>'行政－收支明细表'!G57</f>
        <v>0.35578114512292297</v>
      </c>
      <c r="G122" s="430"/>
      <c r="H122" s="430"/>
      <c r="I122" s="430"/>
      <c r="J122" s="430"/>
    </row>
    <row r="123" spans="2:10" x14ac:dyDescent="0.15">
      <c r="B123" s="549" t="s">
        <v>281</v>
      </c>
      <c r="C123" s="549"/>
      <c r="D123" s="549"/>
      <c r="E123" s="549"/>
      <c r="F123" s="549"/>
      <c r="G123" s="549"/>
      <c r="H123" s="549"/>
      <c r="I123" s="549"/>
      <c r="J123" s="549"/>
    </row>
    <row r="124" spans="2:10" x14ac:dyDescent="0.15">
      <c r="B124" s="432" t="s">
        <v>261</v>
      </c>
      <c r="C124" s="451" t="s">
        <v>603</v>
      </c>
      <c r="D124" s="451"/>
      <c r="E124" s="451"/>
      <c r="F124" s="451"/>
      <c r="G124" s="451"/>
      <c r="H124" s="451"/>
      <c r="I124" s="451"/>
      <c r="J124" s="451"/>
    </row>
    <row r="125" spans="2:10" x14ac:dyDescent="0.15">
      <c r="B125" s="433"/>
      <c r="C125" s="451"/>
      <c r="D125" s="451"/>
      <c r="E125" s="451"/>
      <c r="F125" s="451"/>
      <c r="G125" s="451"/>
      <c r="H125" s="451"/>
      <c r="I125" s="451"/>
      <c r="J125" s="451"/>
    </row>
    <row r="126" spans="2:10" x14ac:dyDescent="0.15">
      <c r="B126" s="433"/>
      <c r="C126" s="451"/>
      <c r="D126" s="451"/>
      <c r="E126" s="451"/>
      <c r="F126" s="451"/>
      <c r="G126" s="451"/>
      <c r="H126" s="451"/>
      <c r="I126" s="451"/>
      <c r="J126" s="451"/>
    </row>
    <row r="127" spans="2:10" ht="24" x14ac:dyDescent="0.15">
      <c r="B127" s="418" t="s">
        <v>219</v>
      </c>
      <c r="C127" s="545">
        <v>39813</v>
      </c>
      <c r="D127" s="545"/>
      <c r="E127" s="545"/>
      <c r="F127" s="545"/>
      <c r="G127" s="545"/>
      <c r="H127" s="545"/>
      <c r="I127" s="545"/>
      <c r="J127" s="545"/>
    </row>
    <row r="128" spans="2:10" x14ac:dyDescent="0.15">
      <c r="B128" s="433" t="s">
        <v>198</v>
      </c>
      <c r="C128" s="433"/>
      <c r="D128" s="433"/>
      <c r="E128" s="433"/>
      <c r="F128" s="433"/>
      <c r="G128" s="433"/>
      <c r="H128" s="433"/>
      <c r="I128" s="433"/>
      <c r="J128" s="433"/>
    </row>
    <row r="129" spans="2:15" x14ac:dyDescent="0.15">
      <c r="B129" s="433" t="s">
        <v>202</v>
      </c>
      <c r="C129" s="433"/>
      <c r="D129" s="433"/>
      <c r="E129" s="433"/>
      <c r="F129" s="433"/>
      <c r="G129" s="433"/>
      <c r="H129" s="433"/>
      <c r="I129" s="433"/>
      <c r="J129" s="433"/>
    </row>
    <row r="130" spans="2:15" x14ac:dyDescent="0.15">
      <c r="B130" s="433" t="s">
        <v>155</v>
      </c>
      <c r="C130" s="542" t="s">
        <v>133</v>
      </c>
      <c r="D130" s="542"/>
      <c r="E130" s="542" t="s">
        <v>134</v>
      </c>
      <c r="F130" s="542"/>
      <c r="G130" s="542"/>
      <c r="H130" s="542"/>
      <c r="I130" s="542"/>
      <c r="J130" s="268" t="s">
        <v>135</v>
      </c>
    </row>
    <row r="131" spans="2:15" x14ac:dyDescent="0.15">
      <c r="B131" s="433"/>
      <c r="C131" s="449"/>
      <c r="D131" s="449"/>
      <c r="E131" s="449" t="s">
        <v>296</v>
      </c>
      <c r="F131" s="449"/>
      <c r="G131" s="449"/>
      <c r="H131" s="449"/>
      <c r="I131" s="449"/>
      <c r="J131" s="459"/>
      <c r="K131" s="361"/>
      <c r="L131" s="361"/>
      <c r="M131" s="361"/>
      <c r="N131" s="361"/>
    </row>
    <row r="132" spans="2:15" x14ac:dyDescent="0.15">
      <c r="B132" s="433"/>
      <c r="C132" s="449"/>
      <c r="D132" s="449"/>
      <c r="E132" s="459"/>
      <c r="F132" s="459"/>
      <c r="G132" s="459"/>
      <c r="H132" s="459"/>
      <c r="I132" s="459"/>
      <c r="J132" s="459"/>
      <c r="K132" s="361"/>
      <c r="L132" s="361"/>
      <c r="M132" s="361"/>
      <c r="N132" s="361"/>
    </row>
    <row r="133" spans="2:15" x14ac:dyDescent="0.15">
      <c r="B133" s="433"/>
      <c r="C133" s="449"/>
      <c r="D133" s="449"/>
      <c r="E133" s="449" t="s">
        <v>296</v>
      </c>
      <c r="F133" s="449"/>
      <c r="G133" s="449"/>
      <c r="H133" s="449"/>
      <c r="I133" s="449"/>
      <c r="J133" s="459"/>
      <c r="K133" s="361"/>
      <c r="L133" s="361"/>
      <c r="M133" s="361"/>
      <c r="N133" s="361"/>
    </row>
    <row r="134" spans="2:15" ht="24" x14ac:dyDescent="0.15">
      <c r="B134" s="270" t="s">
        <v>176</v>
      </c>
      <c r="C134" s="136" t="s">
        <v>175</v>
      </c>
      <c r="D134" s="366">
        <v>7762</v>
      </c>
      <c r="E134" s="134" t="s">
        <v>137</v>
      </c>
      <c r="F134" s="366">
        <v>5500</v>
      </c>
      <c r="G134" s="134" t="s">
        <v>110</v>
      </c>
      <c r="H134" s="367" t="s">
        <v>381</v>
      </c>
      <c r="I134" s="134" t="s">
        <v>138</v>
      </c>
      <c r="J134" s="366">
        <f>D134-F134</f>
        <v>2262</v>
      </c>
      <c r="K134" s="361"/>
      <c r="L134" s="361"/>
      <c r="M134" s="361"/>
      <c r="N134" s="361"/>
    </row>
    <row r="135" spans="2:15" ht="48" x14ac:dyDescent="0.15">
      <c r="B135" s="270" t="s">
        <v>22</v>
      </c>
      <c r="C135" s="136" t="s">
        <v>235</v>
      </c>
      <c r="D135" s="245">
        <v>4100</v>
      </c>
      <c r="E135" s="136" t="s">
        <v>140</v>
      </c>
      <c r="F135" s="245">
        <v>2418</v>
      </c>
      <c r="G135" s="136" t="s">
        <v>110</v>
      </c>
      <c r="H135" s="367" t="s">
        <v>381</v>
      </c>
      <c r="I135" s="136" t="s">
        <v>138</v>
      </c>
      <c r="J135" s="245">
        <f>D135-F135</f>
        <v>1682</v>
      </c>
      <c r="K135" s="361"/>
      <c r="L135" s="361"/>
      <c r="M135" s="361"/>
      <c r="N135" s="361"/>
      <c r="O135" s="283"/>
    </row>
    <row r="136" spans="2:15" ht="36.75" customHeight="1" x14ac:dyDescent="0.15">
      <c r="B136" s="270" t="s">
        <v>402</v>
      </c>
      <c r="C136" s="451" t="s">
        <v>738</v>
      </c>
      <c r="D136" s="451"/>
      <c r="E136" s="451"/>
      <c r="F136" s="451"/>
      <c r="G136" s="451"/>
      <c r="H136" s="451"/>
      <c r="I136" s="451"/>
      <c r="J136" s="451"/>
      <c r="K136" s="361"/>
      <c r="L136" s="361"/>
      <c r="M136" s="361"/>
      <c r="N136" s="361"/>
      <c r="O136" s="283"/>
    </row>
    <row r="137" spans="2:15" x14ac:dyDescent="0.15">
      <c r="B137" s="433" t="s">
        <v>199</v>
      </c>
      <c r="C137" s="433"/>
      <c r="D137" s="433"/>
      <c r="E137" s="433"/>
      <c r="F137" s="433"/>
      <c r="G137" s="433"/>
      <c r="H137" s="433"/>
      <c r="I137" s="433"/>
      <c r="J137" s="433"/>
      <c r="K137" s="283"/>
      <c r="L137" s="283"/>
      <c r="M137" s="283"/>
      <c r="N137" s="283"/>
      <c r="O137" s="283"/>
    </row>
    <row r="138" spans="2:15" x14ac:dyDescent="0.15">
      <c r="B138" s="432" t="s">
        <v>71</v>
      </c>
      <c r="C138" s="432" t="s">
        <v>111</v>
      </c>
      <c r="D138" s="432" t="s">
        <v>112</v>
      </c>
      <c r="E138" s="432" t="s">
        <v>139</v>
      </c>
      <c r="F138" s="433" t="s">
        <v>141</v>
      </c>
      <c r="G138" s="432" t="s">
        <v>262</v>
      </c>
      <c r="H138" s="432" t="s">
        <v>177</v>
      </c>
      <c r="I138" s="432" t="s">
        <v>178</v>
      </c>
      <c r="J138" s="433" t="s">
        <v>253</v>
      </c>
      <c r="K138" s="16"/>
      <c r="L138" s="16"/>
      <c r="M138" s="16"/>
      <c r="N138" s="16"/>
      <c r="O138" s="283"/>
    </row>
    <row r="139" spans="2:15" x14ac:dyDescent="0.15">
      <c r="B139" s="432"/>
      <c r="C139" s="432"/>
      <c r="D139" s="432"/>
      <c r="E139" s="432"/>
      <c r="F139" s="433"/>
      <c r="G139" s="432"/>
      <c r="H139" s="432"/>
      <c r="I139" s="432"/>
      <c r="J139" s="433"/>
      <c r="K139" s="362"/>
      <c r="L139" s="362"/>
      <c r="M139" s="362"/>
      <c r="N139" s="362"/>
      <c r="O139" s="283"/>
    </row>
    <row r="140" spans="2:15" x14ac:dyDescent="0.15">
      <c r="B140" s="123" t="s">
        <v>588</v>
      </c>
      <c r="C140" s="140">
        <v>37712</v>
      </c>
      <c r="D140" s="140">
        <v>37956</v>
      </c>
      <c r="E140" s="141">
        <v>900</v>
      </c>
      <c r="F140" s="142">
        <v>815.02</v>
      </c>
      <c r="G140" s="143">
        <v>801.1</v>
      </c>
      <c r="H140" s="269">
        <f>G140-I140</f>
        <v>761.26</v>
      </c>
      <c r="I140" s="123">
        <v>39.840000000000003</v>
      </c>
      <c r="J140" s="268" t="s">
        <v>589</v>
      </c>
      <c r="K140" s="362"/>
      <c r="L140" s="362"/>
      <c r="M140" s="362"/>
      <c r="N140" s="362"/>
      <c r="O140" s="283"/>
    </row>
    <row r="141" spans="2:15" x14ac:dyDescent="0.15">
      <c r="B141" s="123" t="s">
        <v>590</v>
      </c>
      <c r="C141" s="140">
        <v>37712</v>
      </c>
      <c r="D141" s="144">
        <v>38108</v>
      </c>
      <c r="E141" s="141">
        <v>1320</v>
      </c>
      <c r="F141" s="142">
        <v>968.12</v>
      </c>
      <c r="G141" s="143">
        <v>1052.58</v>
      </c>
      <c r="H141" s="269">
        <f>G141-I141</f>
        <v>1021.8199999999999</v>
      </c>
      <c r="I141" s="123">
        <v>30.76</v>
      </c>
      <c r="J141" s="268" t="s">
        <v>589</v>
      </c>
      <c r="K141" s="362"/>
      <c r="L141" s="362"/>
      <c r="M141" s="362"/>
      <c r="N141" s="362"/>
      <c r="O141" s="283"/>
    </row>
    <row r="142" spans="2:15" x14ac:dyDescent="0.15">
      <c r="B142" s="145" t="s">
        <v>591</v>
      </c>
      <c r="C142" s="140">
        <v>38047</v>
      </c>
      <c r="D142" s="146">
        <v>38231</v>
      </c>
      <c r="E142" s="143">
        <v>884.5</v>
      </c>
      <c r="F142" s="142">
        <v>600</v>
      </c>
      <c r="G142" s="147">
        <v>607.79999999999995</v>
      </c>
      <c r="H142" s="269">
        <f>G142-I142</f>
        <v>565.57999999999993</v>
      </c>
      <c r="I142" s="145">
        <v>42.22</v>
      </c>
      <c r="J142" s="268" t="s">
        <v>589</v>
      </c>
      <c r="K142" s="362"/>
      <c r="L142" s="362"/>
      <c r="M142" s="362"/>
      <c r="N142" s="362"/>
      <c r="O142" s="283"/>
    </row>
    <row r="143" spans="2:15" x14ac:dyDescent="0.15">
      <c r="B143" s="145" t="s">
        <v>23</v>
      </c>
      <c r="C143" s="140">
        <v>38048</v>
      </c>
      <c r="D143" s="146">
        <v>38232</v>
      </c>
      <c r="E143" s="143">
        <v>884.5</v>
      </c>
      <c r="F143" s="142">
        <v>588</v>
      </c>
      <c r="G143" s="147">
        <v>624.38</v>
      </c>
      <c r="H143" s="269">
        <f t="shared" ref="H143:H148" si="0">G143-I143</f>
        <v>573.05999999999995</v>
      </c>
      <c r="I143" s="145">
        <v>51.32</v>
      </c>
      <c r="J143" s="268" t="s">
        <v>589</v>
      </c>
      <c r="K143" s="362"/>
      <c r="L143" s="362"/>
      <c r="M143" s="362"/>
      <c r="N143" s="362"/>
      <c r="O143" s="283"/>
    </row>
    <row r="144" spans="2:15" x14ac:dyDescent="0.15">
      <c r="B144" s="145" t="s">
        <v>24</v>
      </c>
      <c r="C144" s="140">
        <v>38049</v>
      </c>
      <c r="D144" s="146">
        <v>38233</v>
      </c>
      <c r="E144" s="143">
        <v>884.5</v>
      </c>
      <c r="F144" s="142">
        <v>600</v>
      </c>
      <c r="G144" s="143">
        <v>626.69000000000005</v>
      </c>
      <c r="H144" s="269">
        <f t="shared" si="0"/>
        <v>507.38000000000005</v>
      </c>
      <c r="I144" s="123">
        <v>119.31</v>
      </c>
      <c r="J144" s="268" t="s">
        <v>589</v>
      </c>
      <c r="K144" s="362"/>
      <c r="L144" s="362"/>
      <c r="M144" s="362"/>
      <c r="N144" s="362"/>
      <c r="O144" s="283"/>
    </row>
    <row r="145" spans="2:16" x14ac:dyDescent="0.15">
      <c r="B145" s="145" t="s">
        <v>25</v>
      </c>
      <c r="C145" s="140">
        <v>38050</v>
      </c>
      <c r="D145" s="146">
        <v>38234</v>
      </c>
      <c r="E145" s="143">
        <v>884.5</v>
      </c>
      <c r="F145" s="142">
        <v>596.9</v>
      </c>
      <c r="G145" s="143">
        <v>633.07000000000005</v>
      </c>
      <c r="H145" s="269">
        <f t="shared" si="0"/>
        <v>514.37</v>
      </c>
      <c r="I145" s="123">
        <v>118.7</v>
      </c>
      <c r="J145" s="268" t="s">
        <v>589</v>
      </c>
      <c r="K145" s="362"/>
      <c r="L145" s="362"/>
      <c r="M145" s="362"/>
      <c r="N145" s="362"/>
      <c r="O145" s="283"/>
    </row>
    <row r="146" spans="2:16" x14ac:dyDescent="0.15">
      <c r="B146" s="145" t="s">
        <v>26</v>
      </c>
      <c r="C146" s="140">
        <v>38051</v>
      </c>
      <c r="D146" s="144">
        <v>38200</v>
      </c>
      <c r="E146" s="143">
        <v>900</v>
      </c>
      <c r="F146" s="142">
        <v>715</v>
      </c>
      <c r="G146" s="143">
        <v>774.36</v>
      </c>
      <c r="H146" s="269">
        <f t="shared" si="0"/>
        <v>714.15</v>
      </c>
      <c r="I146" s="123">
        <v>60.21</v>
      </c>
      <c r="J146" s="268" t="s">
        <v>589</v>
      </c>
      <c r="K146" s="362"/>
      <c r="L146" s="362"/>
      <c r="M146" s="362"/>
      <c r="N146" s="362"/>
      <c r="O146" s="283"/>
    </row>
    <row r="147" spans="2:16" x14ac:dyDescent="0.15">
      <c r="B147" s="145" t="s">
        <v>592</v>
      </c>
      <c r="C147" s="140">
        <v>38169</v>
      </c>
      <c r="D147" s="144">
        <v>38596</v>
      </c>
      <c r="E147" s="143">
        <v>700.38</v>
      </c>
      <c r="F147" s="142">
        <v>616.29999999999995</v>
      </c>
      <c r="G147" s="143">
        <v>791.44</v>
      </c>
      <c r="H147" s="269">
        <f t="shared" si="0"/>
        <v>757.96</v>
      </c>
      <c r="I147" s="123">
        <v>33.479999999999997</v>
      </c>
      <c r="J147" s="268" t="s">
        <v>589</v>
      </c>
      <c r="K147" s="362"/>
      <c r="L147" s="362"/>
      <c r="M147" s="362"/>
      <c r="N147" s="362"/>
      <c r="O147" s="283"/>
    </row>
    <row r="148" spans="2:16" x14ac:dyDescent="0.15">
      <c r="B148" s="145" t="s">
        <v>593</v>
      </c>
      <c r="C148" s="140">
        <v>38412</v>
      </c>
      <c r="D148" s="144">
        <v>38657</v>
      </c>
      <c r="E148" s="143">
        <v>3000</v>
      </c>
      <c r="F148" s="142">
        <v>2716.16</v>
      </c>
      <c r="G148" s="143">
        <v>2105.85</v>
      </c>
      <c r="H148" s="269">
        <f t="shared" si="0"/>
        <v>2014.33</v>
      </c>
      <c r="I148" s="123">
        <v>91.52</v>
      </c>
      <c r="J148" s="268" t="s">
        <v>589</v>
      </c>
      <c r="K148" s="283"/>
      <c r="L148" s="283"/>
      <c r="M148" s="283"/>
      <c r="N148" s="283"/>
      <c r="O148" s="283"/>
    </row>
    <row r="149" spans="2:16" x14ac:dyDescent="0.15">
      <c r="B149" s="265"/>
      <c r="C149" s="265"/>
      <c r="D149" s="265"/>
      <c r="E149" s="265"/>
      <c r="F149" s="265"/>
      <c r="G149" s="265"/>
      <c r="H149" s="265"/>
      <c r="I149" s="265">
        <v>0</v>
      </c>
      <c r="J149" s="265"/>
      <c r="K149" s="283"/>
      <c r="L149" s="283"/>
      <c r="M149" s="283"/>
      <c r="N149" s="283"/>
      <c r="O149" s="283"/>
    </row>
    <row r="150" spans="2:16" x14ac:dyDescent="0.15">
      <c r="B150" s="433" t="s">
        <v>174</v>
      </c>
      <c r="C150" s="433"/>
      <c r="D150" s="433"/>
      <c r="E150" s="265">
        <f>SUM(E140:E149)</f>
        <v>10358.380000000001</v>
      </c>
      <c r="F150" s="265">
        <f>SUM(F140:F149)</f>
        <v>8215.5</v>
      </c>
      <c r="G150" s="265">
        <f>SUM(G140:G149)</f>
        <v>8017.27</v>
      </c>
      <c r="H150" s="265">
        <f>SUM(H140:H149)</f>
        <v>7429.91</v>
      </c>
      <c r="I150" s="265">
        <f>SUM(I140:I149)</f>
        <v>587.36</v>
      </c>
      <c r="J150" s="265"/>
      <c r="K150" s="283"/>
      <c r="L150" s="283"/>
      <c r="M150" s="283"/>
      <c r="N150" s="283"/>
      <c r="O150" s="283"/>
    </row>
    <row r="151" spans="2:16" x14ac:dyDescent="0.15">
      <c r="B151" s="432" t="s">
        <v>200</v>
      </c>
      <c r="C151" s="432"/>
      <c r="D151" s="432"/>
      <c r="E151" s="432"/>
      <c r="F151" s="432"/>
      <c r="G151" s="432"/>
      <c r="H151" s="432"/>
      <c r="I151" s="432"/>
      <c r="J151" s="432"/>
      <c r="K151" s="283"/>
      <c r="L151" s="283"/>
      <c r="M151" s="283"/>
      <c r="N151" s="283"/>
      <c r="O151" s="283"/>
    </row>
    <row r="152" spans="2:16" x14ac:dyDescent="0.15">
      <c r="B152" s="432" t="s">
        <v>71</v>
      </c>
      <c r="C152" s="432" t="s">
        <v>111</v>
      </c>
      <c r="D152" s="432" t="s">
        <v>112</v>
      </c>
      <c r="E152" s="432" t="s">
        <v>139</v>
      </c>
      <c r="F152" s="433" t="s">
        <v>141</v>
      </c>
      <c r="G152" s="432" t="s">
        <v>262</v>
      </c>
      <c r="H152" s="432" t="s">
        <v>400</v>
      </c>
      <c r="I152" s="432" t="s">
        <v>178</v>
      </c>
      <c r="J152" s="433" t="s">
        <v>253</v>
      </c>
      <c r="K152" s="16"/>
      <c r="L152" s="16"/>
      <c r="M152" s="16"/>
      <c r="N152" s="16"/>
      <c r="O152" s="283"/>
    </row>
    <row r="153" spans="2:16" x14ac:dyDescent="0.15">
      <c r="B153" s="432"/>
      <c r="C153" s="432"/>
      <c r="D153" s="432"/>
      <c r="E153" s="432"/>
      <c r="F153" s="433"/>
      <c r="G153" s="432"/>
      <c r="H153" s="432"/>
      <c r="I153" s="432"/>
      <c r="J153" s="433"/>
      <c r="K153" s="362"/>
      <c r="L153" s="362"/>
      <c r="M153" s="362"/>
      <c r="N153" s="362"/>
      <c r="O153" s="283"/>
      <c r="P153" s="283"/>
    </row>
    <row r="154" spans="2:16" x14ac:dyDescent="0.15">
      <c r="B154" s="123" t="s">
        <v>431</v>
      </c>
      <c r="C154" s="144">
        <v>38991</v>
      </c>
      <c r="D154" s="144">
        <v>39600</v>
      </c>
      <c r="E154" s="142">
        <v>2398</v>
      </c>
      <c r="F154" s="142">
        <v>2744.26</v>
      </c>
      <c r="G154" s="22"/>
      <c r="H154" s="22">
        <v>1298</v>
      </c>
      <c r="I154" s="22">
        <f>F154-H154</f>
        <v>1446.2600000000002</v>
      </c>
      <c r="J154" s="137" t="s">
        <v>382</v>
      </c>
      <c r="K154" s="283"/>
      <c r="L154" s="283"/>
      <c r="M154" s="283"/>
      <c r="N154" s="283"/>
      <c r="O154" s="283"/>
      <c r="P154" s="283"/>
    </row>
    <row r="155" spans="2:16" x14ac:dyDescent="0.15">
      <c r="B155" s="123" t="s">
        <v>594</v>
      </c>
      <c r="C155" s="144">
        <v>39142</v>
      </c>
      <c r="D155" s="144">
        <v>39783</v>
      </c>
      <c r="E155" s="143">
        <v>9651.7800000000007</v>
      </c>
      <c r="F155" s="143">
        <v>8338</v>
      </c>
      <c r="G155" s="22"/>
      <c r="H155" s="22">
        <v>4500</v>
      </c>
      <c r="I155" s="22">
        <v>3838</v>
      </c>
      <c r="J155" s="137" t="s">
        <v>382</v>
      </c>
      <c r="K155" s="283"/>
      <c r="L155" s="283"/>
      <c r="M155" s="283"/>
      <c r="N155" s="283"/>
      <c r="O155" s="283"/>
      <c r="P155" s="283"/>
    </row>
    <row r="156" spans="2:16" x14ac:dyDescent="0.15">
      <c r="B156" s="123" t="s">
        <v>739</v>
      </c>
      <c r="C156" s="144">
        <v>39142</v>
      </c>
      <c r="D156" s="144">
        <v>39692</v>
      </c>
      <c r="E156" s="143">
        <v>1345</v>
      </c>
      <c r="F156" s="143">
        <v>1344.28</v>
      </c>
      <c r="G156" s="22"/>
      <c r="H156" s="22">
        <f>F156-I156</f>
        <v>832.28</v>
      </c>
      <c r="I156" s="22">
        <v>512</v>
      </c>
      <c r="J156" s="137" t="s">
        <v>382</v>
      </c>
      <c r="K156" s="283"/>
      <c r="L156" s="283"/>
      <c r="M156" s="283"/>
      <c r="N156" s="283"/>
      <c r="O156" s="283"/>
      <c r="P156" s="283"/>
    </row>
    <row r="157" spans="2:16" ht="24" x14ac:dyDescent="0.15">
      <c r="B157" s="123" t="s">
        <v>595</v>
      </c>
      <c r="C157" s="144">
        <v>39295</v>
      </c>
      <c r="D157" s="144">
        <v>39630</v>
      </c>
      <c r="E157" s="143">
        <v>1973</v>
      </c>
      <c r="F157" s="143">
        <v>2142.9499999999998</v>
      </c>
      <c r="G157" s="275"/>
      <c r="H157" s="22">
        <v>643</v>
      </c>
      <c r="I157" s="22">
        <f>F157-H157</f>
        <v>1499.9499999999998</v>
      </c>
      <c r="J157" s="137" t="s">
        <v>382</v>
      </c>
      <c r="K157" s="283"/>
      <c r="L157" s="283"/>
      <c r="M157" s="283"/>
      <c r="N157" s="283"/>
      <c r="O157" s="283"/>
      <c r="P157" s="283"/>
    </row>
    <row r="158" spans="2:16" x14ac:dyDescent="0.15">
      <c r="B158" s="275" t="s">
        <v>596</v>
      </c>
      <c r="C158" s="21"/>
      <c r="D158" s="21"/>
      <c r="E158" s="22"/>
      <c r="F158" s="22"/>
      <c r="G158" s="22"/>
      <c r="H158" s="22"/>
      <c r="I158" s="22">
        <v>327</v>
      </c>
      <c r="J158" s="137" t="s">
        <v>382</v>
      </c>
      <c r="K158" s="283"/>
      <c r="L158" s="283"/>
      <c r="M158" s="283"/>
      <c r="N158" s="283"/>
      <c r="O158" s="283"/>
      <c r="P158" s="283"/>
    </row>
    <row r="159" spans="2:16" x14ac:dyDescent="0.15">
      <c r="B159" s="275"/>
      <c r="C159" s="21"/>
      <c r="D159" s="21"/>
      <c r="E159" s="22"/>
      <c r="F159" s="22"/>
      <c r="G159" s="275"/>
      <c r="H159" s="22"/>
      <c r="I159" s="22"/>
      <c r="J159" s="137"/>
      <c r="K159" s="283"/>
      <c r="L159" s="283"/>
      <c r="M159" s="283"/>
      <c r="N159" s="283"/>
      <c r="O159" s="283"/>
      <c r="P159" s="283"/>
    </row>
    <row r="160" spans="2:16" x14ac:dyDescent="0.15">
      <c r="B160" s="433" t="s">
        <v>174</v>
      </c>
      <c r="C160" s="433"/>
      <c r="D160" s="433"/>
      <c r="E160" s="265">
        <f>SUM(E154:E159)</f>
        <v>15367.78</v>
      </c>
      <c r="F160" s="29">
        <f>SUM(F154:F159)</f>
        <v>14569.490000000002</v>
      </c>
      <c r="G160" s="29">
        <f>SUM(G154:G159)</f>
        <v>0</v>
      </c>
      <c r="H160" s="29">
        <f>SUM(H154:H159)</f>
        <v>7273.28</v>
      </c>
      <c r="I160" s="29">
        <f>SUM(I154:I159)</f>
        <v>7623.21</v>
      </c>
      <c r="J160" s="265"/>
      <c r="K160" s="283"/>
      <c r="L160" s="283"/>
      <c r="M160" s="283"/>
      <c r="N160" s="283"/>
      <c r="O160" s="283"/>
      <c r="P160" s="283"/>
    </row>
    <row r="161" spans="2:16" x14ac:dyDescent="0.15">
      <c r="B161" s="433" t="s">
        <v>401</v>
      </c>
      <c r="C161" s="433"/>
      <c r="D161" s="433"/>
      <c r="E161" s="433"/>
      <c r="F161" s="433"/>
      <c r="G161" s="433"/>
      <c r="H161" s="433"/>
      <c r="I161" s="433"/>
      <c r="J161" s="433"/>
      <c r="K161" s="283"/>
      <c r="L161" s="283"/>
      <c r="M161" s="283"/>
      <c r="N161" s="283"/>
      <c r="O161" s="283"/>
      <c r="P161" s="283"/>
    </row>
    <row r="162" spans="2:16" x14ac:dyDescent="0.15">
      <c r="B162" s="433" t="s">
        <v>241</v>
      </c>
      <c r="C162" s="433" t="s">
        <v>242</v>
      </c>
      <c r="D162" s="433" t="s">
        <v>243</v>
      </c>
      <c r="E162" s="433"/>
      <c r="F162" s="433"/>
      <c r="G162" s="433"/>
      <c r="H162" s="433"/>
      <c r="I162" s="433"/>
      <c r="J162" s="433"/>
      <c r="K162" s="283"/>
      <c r="L162" s="283"/>
      <c r="M162" s="283"/>
      <c r="N162" s="283"/>
      <c r="O162" s="283"/>
      <c r="P162" s="283"/>
    </row>
    <row r="163" spans="2:16" x14ac:dyDescent="0.15">
      <c r="B163" s="433"/>
      <c r="C163" s="433"/>
      <c r="D163" s="269" t="s">
        <v>244</v>
      </c>
      <c r="E163" s="268" t="s">
        <v>245</v>
      </c>
      <c r="F163" s="268" t="s">
        <v>246</v>
      </c>
      <c r="G163" s="268" t="s">
        <v>247</v>
      </c>
      <c r="H163" s="268" t="s">
        <v>248</v>
      </c>
      <c r="I163" s="268">
        <v>14</v>
      </c>
      <c r="J163" s="268" t="s">
        <v>252</v>
      </c>
      <c r="K163" s="283"/>
      <c r="L163" s="283"/>
      <c r="M163" s="283"/>
      <c r="N163" s="283"/>
      <c r="O163" s="283"/>
      <c r="P163" s="283"/>
    </row>
    <row r="164" spans="2:16" x14ac:dyDescent="0.15">
      <c r="B164" s="268" t="s">
        <v>249</v>
      </c>
      <c r="C164" s="265">
        <f>J134</f>
        <v>2262</v>
      </c>
      <c r="D164" s="265">
        <f>C164*60%</f>
        <v>1357.2</v>
      </c>
      <c r="E164" s="265">
        <f>C164*40%</f>
        <v>904.80000000000007</v>
      </c>
      <c r="F164" s="265"/>
      <c r="G164" s="265"/>
      <c r="H164" s="265"/>
      <c r="I164" s="265"/>
      <c r="J164" s="265"/>
      <c r="K164" s="283"/>
      <c r="L164" s="283"/>
      <c r="M164" s="283"/>
      <c r="N164" s="283"/>
      <c r="O164" s="283"/>
      <c r="P164" s="283"/>
    </row>
    <row r="165" spans="2:16" x14ac:dyDescent="0.15">
      <c r="B165" s="136" t="s">
        <v>723</v>
      </c>
      <c r="C165" s="265">
        <f>J135</f>
        <v>1682</v>
      </c>
      <c r="D165" s="265">
        <f>C165*20%</f>
        <v>336.40000000000003</v>
      </c>
      <c r="E165" s="265">
        <f>C165*30%</f>
        <v>504.59999999999997</v>
      </c>
      <c r="F165" s="265">
        <f>C165*40%</f>
        <v>672.80000000000007</v>
      </c>
      <c r="G165" s="265">
        <f>C165*10%</f>
        <v>168.20000000000002</v>
      </c>
      <c r="H165" s="265"/>
      <c r="I165" s="265"/>
      <c r="J165" s="265"/>
      <c r="K165" s="283"/>
      <c r="L165" s="283"/>
      <c r="M165" s="283"/>
      <c r="N165" s="283"/>
      <c r="O165" s="283"/>
      <c r="P165" s="283"/>
    </row>
    <row r="166" spans="2:16" x14ac:dyDescent="0.15">
      <c r="B166" s="268" t="s">
        <v>250</v>
      </c>
      <c r="C166" s="265">
        <f>I150</f>
        <v>587.36</v>
      </c>
      <c r="D166" s="265">
        <f>C166*20%</f>
        <v>117.47200000000001</v>
      </c>
      <c r="E166" s="265">
        <f>C166*20%</f>
        <v>117.47200000000001</v>
      </c>
      <c r="F166" s="265">
        <f>C166*30%</f>
        <v>176.208</v>
      </c>
      <c r="G166" s="265">
        <f>C166*30%</f>
        <v>176.208</v>
      </c>
      <c r="H166" s="265"/>
      <c r="I166" s="265"/>
      <c r="J166" s="265"/>
      <c r="K166" s="283"/>
      <c r="L166" s="283"/>
      <c r="M166" s="283"/>
      <c r="N166" s="283"/>
      <c r="O166" s="283"/>
      <c r="P166" s="283"/>
    </row>
    <row r="167" spans="2:16" x14ac:dyDescent="0.15">
      <c r="B167" s="268" t="s">
        <v>251</v>
      </c>
      <c r="C167" s="265">
        <f>I160</f>
        <v>7623.21</v>
      </c>
      <c r="D167" s="29">
        <f>C167*40%</f>
        <v>3049.2840000000001</v>
      </c>
      <c r="E167" s="29">
        <f>C167*40%</f>
        <v>3049.2840000000001</v>
      </c>
      <c r="F167" s="29">
        <f>C167*10%</f>
        <v>762.32100000000003</v>
      </c>
      <c r="G167" s="29">
        <f>C167*10%</f>
        <v>762.32100000000003</v>
      </c>
      <c r="H167" s="29"/>
      <c r="I167" s="29"/>
      <c r="J167" s="29"/>
      <c r="K167" s="283"/>
      <c r="L167" s="283"/>
      <c r="M167" s="283"/>
      <c r="N167" s="283"/>
      <c r="O167" s="283"/>
      <c r="P167" s="283"/>
    </row>
    <row r="168" spans="2:16" x14ac:dyDescent="0.15">
      <c r="B168" s="268" t="s">
        <v>210</v>
      </c>
      <c r="C168" s="265">
        <f>SUM(C164:C167)</f>
        <v>12154.57</v>
      </c>
      <c r="D168" s="29">
        <f>SUM(D164:D167)</f>
        <v>4860.3559999999998</v>
      </c>
      <c r="E168" s="29">
        <f>SUM(E164:E167)</f>
        <v>4576.1559999999999</v>
      </c>
      <c r="F168" s="29">
        <f>SUM(F164:F167)</f>
        <v>1611.3290000000002</v>
      </c>
      <c r="G168" s="29">
        <f>SUM(G164:G167)</f>
        <v>1106.729</v>
      </c>
      <c r="H168" s="29"/>
      <c r="I168" s="29"/>
      <c r="J168" s="29"/>
      <c r="K168" s="283"/>
      <c r="L168" s="283"/>
      <c r="M168" s="283"/>
      <c r="N168" s="283"/>
      <c r="O168" s="283"/>
      <c r="P168" s="283"/>
    </row>
    <row r="169" spans="2:16" x14ac:dyDescent="0.15">
      <c r="B169" s="555" t="s">
        <v>203</v>
      </c>
      <c r="C169" s="556"/>
      <c r="D169" s="556"/>
      <c r="E169" s="556"/>
      <c r="F169" s="556"/>
      <c r="G169" s="556"/>
      <c r="H169" s="556"/>
      <c r="I169" s="556"/>
      <c r="J169" s="557"/>
      <c r="K169" s="283"/>
      <c r="L169" s="283"/>
      <c r="M169" s="283"/>
      <c r="N169" s="283"/>
      <c r="O169" s="283"/>
      <c r="P169" s="283"/>
    </row>
    <row r="170" spans="2:16" x14ac:dyDescent="0.15">
      <c r="B170" s="562" t="s">
        <v>71</v>
      </c>
      <c r="C170" s="465" t="s">
        <v>111</v>
      </c>
      <c r="D170" s="465" t="s">
        <v>112</v>
      </c>
      <c r="E170" s="465" t="s">
        <v>179</v>
      </c>
      <c r="F170" s="433" t="s">
        <v>110</v>
      </c>
      <c r="G170" s="433" t="s">
        <v>142</v>
      </c>
      <c r="H170" s="433"/>
      <c r="I170" s="433"/>
      <c r="J170" s="554"/>
      <c r="K170" s="283"/>
      <c r="L170" s="283"/>
      <c r="M170" s="283"/>
      <c r="N170" s="283"/>
      <c r="O170" s="283"/>
      <c r="P170" s="283"/>
    </row>
    <row r="171" spans="2:16" x14ac:dyDescent="0.15">
      <c r="B171" s="562"/>
      <c r="C171" s="465"/>
      <c r="D171" s="465"/>
      <c r="E171" s="465"/>
      <c r="F171" s="433"/>
      <c r="G171" s="433"/>
      <c r="H171" s="433"/>
      <c r="I171" s="433"/>
      <c r="J171" s="554"/>
      <c r="K171" s="283"/>
      <c r="L171" s="283"/>
      <c r="M171" s="283"/>
      <c r="N171" s="283"/>
      <c r="O171" s="283"/>
      <c r="P171" s="283"/>
    </row>
    <row r="172" spans="2:16" ht="33" customHeight="1" x14ac:dyDescent="0.15">
      <c r="B172" s="277" t="s">
        <v>27</v>
      </c>
      <c r="C172" s="278" t="s">
        <v>28</v>
      </c>
      <c r="D172" s="271"/>
      <c r="E172" s="271">
        <v>1100</v>
      </c>
      <c r="F172" s="278" t="s">
        <v>30</v>
      </c>
      <c r="G172" s="451" t="s">
        <v>721</v>
      </c>
      <c r="H172" s="451"/>
      <c r="I172" s="451"/>
      <c r="J172" s="551"/>
      <c r="K172" s="363"/>
      <c r="L172" s="363"/>
      <c r="M172" s="363"/>
      <c r="N172" s="363"/>
      <c r="O172" s="363"/>
      <c r="P172" s="283"/>
    </row>
    <row r="173" spans="2:16" ht="37.5" customHeight="1" x14ac:dyDescent="0.15">
      <c r="B173" s="148" t="s">
        <v>29</v>
      </c>
      <c r="C173" s="23" t="s">
        <v>28</v>
      </c>
      <c r="D173" s="265"/>
      <c r="E173" s="265">
        <v>173</v>
      </c>
      <c r="F173" s="278" t="s">
        <v>740</v>
      </c>
      <c r="G173" s="451" t="s">
        <v>722</v>
      </c>
      <c r="H173" s="451"/>
      <c r="I173" s="451"/>
      <c r="J173" s="551"/>
      <c r="K173" s="283"/>
      <c r="L173" s="283"/>
      <c r="M173" s="283"/>
      <c r="N173" s="283"/>
      <c r="O173" s="283"/>
      <c r="P173" s="283"/>
    </row>
    <row r="174" spans="2:16" x14ac:dyDescent="0.15">
      <c r="B174" s="149" t="s">
        <v>31</v>
      </c>
      <c r="C174" s="265"/>
      <c r="D174" s="265"/>
      <c r="E174" s="265">
        <f>E172+E173</f>
        <v>1273</v>
      </c>
      <c r="F174" s="265"/>
      <c r="G174" s="459"/>
      <c r="H174" s="459"/>
      <c r="I174" s="459"/>
      <c r="J174" s="550"/>
      <c r="K174" s="283"/>
      <c r="L174" s="283"/>
      <c r="M174" s="283"/>
      <c r="N174" s="283"/>
      <c r="O174" s="283"/>
      <c r="P174" s="283"/>
    </row>
    <row r="175" spans="2:16" x14ac:dyDescent="0.15">
      <c r="B175" s="560" t="s">
        <v>211</v>
      </c>
      <c r="C175" s="459">
        <f>D134+G150+F160+D135</f>
        <v>34448.76</v>
      </c>
      <c r="D175" s="433" t="s">
        <v>212</v>
      </c>
      <c r="E175" s="459">
        <f>F134+H150+H160+F135</f>
        <v>22621.19</v>
      </c>
      <c r="F175" s="433" t="s">
        <v>213</v>
      </c>
      <c r="G175" s="459">
        <f>C175-E175</f>
        <v>11827.570000000003</v>
      </c>
      <c r="H175" s="451" t="s">
        <v>32</v>
      </c>
      <c r="I175" s="451"/>
      <c r="J175" s="551"/>
      <c r="K175" s="283"/>
      <c r="L175" s="283"/>
      <c r="M175" s="283"/>
      <c r="N175" s="283"/>
      <c r="O175" s="283"/>
      <c r="P175" s="283"/>
    </row>
    <row r="176" spans="2:16" ht="12.75" thickBot="1" x14ac:dyDescent="0.2">
      <c r="B176" s="561"/>
      <c r="C176" s="460"/>
      <c r="D176" s="572"/>
      <c r="E176" s="460"/>
      <c r="F176" s="572"/>
      <c r="G176" s="460"/>
      <c r="H176" s="552"/>
      <c r="I176" s="552"/>
      <c r="J176" s="553"/>
      <c r="K176" s="283"/>
      <c r="L176" s="283"/>
      <c r="M176" s="283"/>
      <c r="N176" s="283"/>
      <c r="O176" s="283"/>
      <c r="P176" s="283"/>
    </row>
    <row r="177" spans="2:16" x14ac:dyDescent="0.15">
      <c r="B177" s="469" t="s">
        <v>201</v>
      </c>
      <c r="C177" s="470"/>
      <c r="D177" s="470"/>
      <c r="E177" s="470"/>
      <c r="F177" s="470"/>
      <c r="G177" s="470"/>
      <c r="H177" s="470"/>
      <c r="I177" s="470"/>
      <c r="J177" s="471"/>
      <c r="K177" s="283"/>
      <c r="L177" s="283"/>
      <c r="M177" s="283"/>
      <c r="N177" s="283"/>
      <c r="O177" s="283"/>
      <c r="P177" s="283"/>
    </row>
    <row r="178" spans="2:16" ht="12.75" thickBot="1" x14ac:dyDescent="0.2">
      <c r="B178" s="472"/>
      <c r="C178" s="473"/>
      <c r="D178" s="473"/>
      <c r="E178" s="473"/>
      <c r="F178" s="473"/>
      <c r="G178" s="473"/>
      <c r="H178" s="473"/>
      <c r="I178" s="473"/>
      <c r="J178" s="474"/>
      <c r="K178" s="283"/>
      <c r="L178" s="283"/>
      <c r="M178" s="283"/>
      <c r="N178" s="283"/>
      <c r="O178" s="283"/>
      <c r="P178" s="283"/>
    </row>
    <row r="179" spans="2:16" x14ac:dyDescent="0.15">
      <c r="B179" s="475" t="s">
        <v>282</v>
      </c>
      <c r="C179" s="477" t="s">
        <v>180</v>
      </c>
      <c r="D179" s="457">
        <f>F179+H179+J179</f>
        <v>1200</v>
      </c>
      <c r="E179" s="463" t="s">
        <v>147</v>
      </c>
      <c r="F179" s="461">
        <v>0</v>
      </c>
      <c r="G179" s="463" t="s">
        <v>143</v>
      </c>
      <c r="H179" s="461">
        <v>1200</v>
      </c>
      <c r="I179" s="463" t="s">
        <v>328</v>
      </c>
      <c r="J179" s="446">
        <v>0</v>
      </c>
      <c r="K179" s="283"/>
      <c r="L179" s="283"/>
      <c r="M179" s="283"/>
      <c r="N179" s="283"/>
      <c r="O179" s="283"/>
      <c r="P179" s="283"/>
    </row>
    <row r="180" spans="2:16" x14ac:dyDescent="0.15">
      <c r="B180" s="476"/>
      <c r="C180" s="478"/>
      <c r="D180" s="458"/>
      <c r="E180" s="464"/>
      <c r="F180" s="462"/>
      <c r="G180" s="464"/>
      <c r="H180" s="462"/>
      <c r="I180" s="464"/>
      <c r="J180" s="447"/>
      <c r="K180" s="283"/>
      <c r="L180" s="283"/>
      <c r="M180" s="283"/>
      <c r="N180" s="283"/>
      <c r="O180" s="283"/>
      <c r="P180" s="283"/>
    </row>
    <row r="181" spans="2:16" x14ac:dyDescent="0.15">
      <c r="B181" s="476"/>
      <c r="C181" s="477" t="s">
        <v>181</v>
      </c>
      <c r="D181" s="466">
        <f>F181+H181+J181</f>
        <v>1709.9108440000002</v>
      </c>
      <c r="E181" s="468" t="s">
        <v>383</v>
      </c>
      <c r="F181" s="466">
        <v>0</v>
      </c>
      <c r="G181" s="468" t="s">
        <v>384</v>
      </c>
      <c r="H181" s="466">
        <v>0</v>
      </c>
      <c r="I181" s="468" t="s">
        <v>385</v>
      </c>
      <c r="J181" s="558">
        <f>'行政－收支明细表'!B55</f>
        <v>1709.9108440000002</v>
      </c>
      <c r="K181" s="283"/>
      <c r="L181" s="283"/>
      <c r="M181" s="283"/>
      <c r="N181" s="283"/>
      <c r="O181" s="283"/>
      <c r="P181" s="283"/>
    </row>
    <row r="182" spans="2:16" x14ac:dyDescent="0.15">
      <c r="B182" s="476"/>
      <c r="C182" s="478"/>
      <c r="D182" s="467"/>
      <c r="E182" s="468"/>
      <c r="F182" s="467"/>
      <c r="G182" s="468"/>
      <c r="H182" s="467"/>
      <c r="I182" s="468"/>
      <c r="J182" s="559"/>
      <c r="K182" s="283"/>
      <c r="L182" s="283"/>
      <c r="M182" s="283"/>
      <c r="N182" s="283"/>
      <c r="O182" s="283"/>
      <c r="P182" s="283"/>
    </row>
    <row r="183" spans="2:16" x14ac:dyDescent="0.15">
      <c r="B183" s="476"/>
      <c r="C183" s="479" t="s">
        <v>33</v>
      </c>
      <c r="D183" s="480"/>
      <c r="E183" s="480"/>
      <c r="F183" s="480"/>
      <c r="G183" s="480"/>
      <c r="H183" s="480"/>
      <c r="I183" s="480"/>
      <c r="J183" s="481"/>
      <c r="K183" s="283"/>
      <c r="L183" s="283"/>
      <c r="M183" s="283"/>
      <c r="N183" s="283"/>
      <c r="O183" s="283"/>
      <c r="P183" s="283"/>
    </row>
    <row r="184" spans="2:16" ht="12.75" thickBot="1" x14ac:dyDescent="0.2">
      <c r="B184" s="476"/>
      <c r="C184" s="482"/>
      <c r="D184" s="483"/>
      <c r="E184" s="483"/>
      <c r="F184" s="483"/>
      <c r="G184" s="483"/>
      <c r="H184" s="483"/>
      <c r="I184" s="483"/>
      <c r="J184" s="484"/>
      <c r="K184" s="283"/>
      <c r="L184" s="283"/>
      <c r="M184" s="283"/>
      <c r="N184" s="283"/>
      <c r="O184" s="283"/>
      <c r="P184" s="283"/>
    </row>
    <row r="185" spans="2:16" x14ac:dyDescent="0.15">
      <c r="B185" s="475" t="s">
        <v>283</v>
      </c>
      <c r="C185" s="463" t="s">
        <v>210</v>
      </c>
      <c r="D185" s="457">
        <f>572+3493</f>
        <v>4065</v>
      </c>
      <c r="E185" s="479" t="s">
        <v>34</v>
      </c>
      <c r="F185" s="480"/>
      <c r="G185" s="480"/>
      <c r="H185" s="480"/>
      <c r="I185" s="480"/>
      <c r="J185" s="481"/>
      <c r="K185" s="283"/>
      <c r="L185" s="283"/>
      <c r="M185" s="283"/>
      <c r="N185" s="283"/>
      <c r="O185" s="283"/>
      <c r="P185" s="283"/>
    </row>
    <row r="186" spans="2:16" ht="12.75" thickBot="1" x14ac:dyDescent="0.2">
      <c r="B186" s="476"/>
      <c r="C186" s="464"/>
      <c r="D186" s="458"/>
      <c r="E186" s="482"/>
      <c r="F186" s="483"/>
      <c r="G186" s="483"/>
      <c r="H186" s="483"/>
      <c r="I186" s="483"/>
      <c r="J186" s="484"/>
      <c r="K186" s="283"/>
      <c r="L186" s="283"/>
      <c r="M186" s="283"/>
      <c r="N186" s="283"/>
      <c r="O186" s="283"/>
      <c r="P186" s="283"/>
    </row>
    <row r="187" spans="2:16" x14ac:dyDescent="0.15">
      <c r="B187" s="475" t="s">
        <v>284</v>
      </c>
      <c r="C187" s="479" t="s">
        <v>35</v>
      </c>
      <c r="D187" s="480"/>
      <c r="E187" s="480"/>
      <c r="F187" s="480"/>
      <c r="G187" s="480"/>
      <c r="H187" s="480"/>
      <c r="I187" s="480"/>
      <c r="J187" s="481"/>
      <c r="K187" s="283"/>
      <c r="L187" s="283"/>
      <c r="M187" s="283"/>
      <c r="N187" s="283"/>
      <c r="O187" s="283"/>
      <c r="P187" s="283"/>
    </row>
    <row r="188" spans="2:16" x14ac:dyDescent="0.15">
      <c r="B188" s="476"/>
      <c r="C188" s="574"/>
      <c r="D188" s="575"/>
      <c r="E188" s="575"/>
      <c r="F188" s="575"/>
      <c r="G188" s="575"/>
      <c r="H188" s="575"/>
      <c r="I188" s="575"/>
      <c r="J188" s="576"/>
      <c r="K188" s="283"/>
      <c r="L188" s="283"/>
      <c r="M188" s="283"/>
      <c r="N188" s="283"/>
      <c r="O188" s="283"/>
      <c r="P188" s="283"/>
    </row>
    <row r="189" spans="2:16" ht="12.75" thickBot="1" x14ac:dyDescent="0.2">
      <c r="B189" s="476"/>
      <c r="C189" s="574"/>
      <c r="D189" s="575"/>
      <c r="E189" s="575"/>
      <c r="F189" s="575"/>
      <c r="G189" s="575"/>
      <c r="H189" s="575"/>
      <c r="I189" s="575"/>
      <c r="J189" s="576"/>
      <c r="K189" s="283"/>
      <c r="L189" s="283"/>
      <c r="M189" s="283"/>
      <c r="N189" s="283"/>
      <c r="O189" s="283"/>
      <c r="P189" s="283"/>
    </row>
    <row r="190" spans="2:16" x14ac:dyDescent="0.15">
      <c r="B190" s="577" t="s">
        <v>204</v>
      </c>
      <c r="C190" s="578"/>
      <c r="D190" s="578"/>
      <c r="E190" s="578"/>
      <c r="F190" s="578"/>
      <c r="G190" s="578"/>
      <c r="H190" s="578"/>
      <c r="I190" s="578"/>
      <c r="J190" s="579"/>
      <c r="K190" s="283"/>
      <c r="L190" s="283"/>
      <c r="M190" s="283"/>
      <c r="N190" s="283"/>
      <c r="O190" s="283"/>
      <c r="P190" s="283"/>
    </row>
    <row r="191" spans="2:16" ht="51" customHeight="1" x14ac:dyDescent="0.15">
      <c r="B191" s="374" t="s">
        <v>285</v>
      </c>
      <c r="C191" s="517" t="s">
        <v>741</v>
      </c>
      <c r="D191" s="517"/>
      <c r="E191" s="517"/>
      <c r="F191" s="517"/>
      <c r="G191" s="517"/>
      <c r="H191" s="517"/>
      <c r="I191" s="517"/>
      <c r="J191" s="518"/>
      <c r="K191" s="283"/>
      <c r="L191" s="283"/>
      <c r="M191" s="283"/>
      <c r="N191" s="283"/>
      <c r="O191" s="283"/>
      <c r="P191" s="283"/>
    </row>
    <row r="192" spans="2:16" ht="24" x14ac:dyDescent="0.15">
      <c r="B192" s="375" t="s">
        <v>286</v>
      </c>
      <c r="C192" s="376">
        <v>40056</v>
      </c>
      <c r="D192" s="377" t="s">
        <v>297</v>
      </c>
      <c r="E192" s="378"/>
      <c r="F192" s="377" t="s">
        <v>149</v>
      </c>
      <c r="G192" s="379">
        <f>555454600/10000</f>
        <v>55545.46</v>
      </c>
      <c r="H192" s="377" t="s">
        <v>298</v>
      </c>
      <c r="I192" s="438">
        <v>0</v>
      </c>
      <c r="J192" s="524"/>
      <c r="K192" s="283"/>
      <c r="L192" s="283"/>
      <c r="M192" s="283"/>
      <c r="N192" s="283"/>
      <c r="O192" s="283"/>
      <c r="P192" s="283"/>
    </row>
    <row r="193" spans="2:16" ht="12.75" thickBot="1" x14ac:dyDescent="0.2">
      <c r="B193" s="375" t="s">
        <v>299</v>
      </c>
      <c r="C193" s="513" t="s">
        <v>386</v>
      </c>
      <c r="D193" s="513"/>
      <c r="E193" s="513"/>
      <c r="F193" s="513"/>
      <c r="G193" s="513"/>
      <c r="H193" s="513"/>
      <c r="I193" s="513"/>
      <c r="J193" s="514"/>
      <c r="K193" s="283"/>
      <c r="L193" s="283"/>
      <c r="M193" s="283"/>
      <c r="N193" s="283"/>
      <c r="O193" s="283"/>
      <c r="P193" s="283"/>
    </row>
    <row r="194" spans="2:16" x14ac:dyDescent="0.15">
      <c r="B194" s="515" t="s">
        <v>293</v>
      </c>
      <c r="C194" s="441" t="s">
        <v>149</v>
      </c>
      <c r="D194" s="441" t="s">
        <v>145</v>
      </c>
      <c r="E194" s="441" t="s">
        <v>144</v>
      </c>
      <c r="F194" s="441" t="s">
        <v>148</v>
      </c>
      <c r="G194" s="441"/>
      <c r="H194" s="441"/>
      <c r="I194" s="441"/>
      <c r="J194" s="573"/>
      <c r="K194" s="404"/>
      <c r="L194" s="439" t="s">
        <v>622</v>
      </c>
      <c r="M194" s="283"/>
      <c r="N194" s="283"/>
      <c r="O194" s="283"/>
      <c r="P194" s="283"/>
    </row>
    <row r="195" spans="2:16" x14ac:dyDescent="0.15">
      <c r="B195" s="515"/>
      <c r="C195" s="441"/>
      <c r="D195" s="441"/>
      <c r="E195" s="441"/>
      <c r="F195" s="390">
        <v>2009</v>
      </c>
      <c r="G195" s="390">
        <v>2010</v>
      </c>
      <c r="H195" s="390">
        <v>2011</v>
      </c>
      <c r="I195" s="390">
        <v>2012</v>
      </c>
      <c r="J195" s="392">
        <v>2013</v>
      </c>
      <c r="K195" s="405">
        <v>2014</v>
      </c>
      <c r="L195" s="440"/>
      <c r="M195" s="283"/>
      <c r="N195" s="283"/>
      <c r="O195" s="283"/>
      <c r="P195" s="283"/>
    </row>
    <row r="196" spans="2:16" x14ac:dyDescent="0.15">
      <c r="B196" s="485" t="s">
        <v>604</v>
      </c>
      <c r="C196" s="487">
        <v>2000</v>
      </c>
      <c r="D196" s="438">
        <v>3</v>
      </c>
      <c r="E196" s="437">
        <v>7.4700000000000003E-2</v>
      </c>
      <c r="F196" s="380"/>
      <c r="G196" s="380"/>
      <c r="H196" s="380" t="s">
        <v>605</v>
      </c>
      <c r="I196" s="380"/>
      <c r="J196" s="381"/>
      <c r="K196" s="406"/>
      <c r="L196" s="435">
        <f>C196*E196</f>
        <v>149.4</v>
      </c>
      <c r="M196" s="283"/>
      <c r="N196" s="283"/>
      <c r="O196" s="283"/>
      <c r="P196" s="283"/>
    </row>
    <row r="197" spans="2:16" x14ac:dyDescent="0.15">
      <c r="B197" s="485"/>
      <c r="C197" s="487"/>
      <c r="D197" s="438"/>
      <c r="E197" s="437"/>
      <c r="F197" s="382"/>
      <c r="G197" s="382"/>
      <c r="H197" s="382">
        <v>2000</v>
      </c>
      <c r="I197" s="382"/>
      <c r="J197" s="383"/>
      <c r="K197" s="406"/>
      <c r="L197" s="436"/>
      <c r="M197" s="283"/>
      <c r="N197" s="283"/>
      <c r="O197" s="283"/>
      <c r="P197" s="283"/>
    </row>
    <row r="198" spans="2:16" x14ac:dyDescent="0.15">
      <c r="B198" s="485" t="s">
        <v>36</v>
      </c>
      <c r="C198" s="487">
        <v>2000</v>
      </c>
      <c r="D198" s="438">
        <v>1</v>
      </c>
      <c r="E198" s="437">
        <v>5.3100000000000001E-2</v>
      </c>
      <c r="F198" s="380"/>
      <c r="G198" s="380" t="s">
        <v>38</v>
      </c>
      <c r="H198" s="380"/>
      <c r="I198" s="380"/>
      <c r="J198" s="381"/>
      <c r="K198" s="406"/>
      <c r="L198" s="435">
        <f>C198*E198</f>
        <v>106.2</v>
      </c>
      <c r="M198" s="283"/>
      <c r="N198" s="283"/>
      <c r="O198" s="283"/>
      <c r="P198" s="283"/>
    </row>
    <row r="199" spans="2:16" x14ac:dyDescent="0.15">
      <c r="B199" s="485"/>
      <c r="C199" s="487"/>
      <c r="D199" s="438"/>
      <c r="E199" s="437"/>
      <c r="F199" s="382"/>
      <c r="G199" s="382">
        <v>2000</v>
      </c>
      <c r="H199" s="382"/>
      <c r="I199" s="382"/>
      <c r="J199" s="383"/>
      <c r="K199" s="406"/>
      <c r="L199" s="436"/>
      <c r="M199" s="283"/>
      <c r="N199" s="283"/>
      <c r="O199" s="283"/>
      <c r="P199" s="283"/>
    </row>
    <row r="200" spans="2:16" x14ac:dyDescent="0.15">
      <c r="B200" s="485" t="s">
        <v>36</v>
      </c>
      <c r="C200" s="487">
        <v>2000</v>
      </c>
      <c r="D200" s="438">
        <v>1</v>
      </c>
      <c r="E200" s="437">
        <v>5.3100000000000001E-2</v>
      </c>
      <c r="F200" s="380"/>
      <c r="G200" s="380" t="s">
        <v>37</v>
      </c>
      <c r="H200" s="380"/>
      <c r="I200" s="380"/>
      <c r="J200" s="381"/>
      <c r="K200" s="406"/>
      <c r="L200" s="435">
        <f>C200*E200</f>
        <v>106.2</v>
      </c>
      <c r="M200" s="283"/>
      <c r="N200" s="283"/>
      <c r="O200" s="283"/>
      <c r="P200" s="283"/>
    </row>
    <row r="201" spans="2:16" x14ac:dyDescent="0.15">
      <c r="B201" s="485"/>
      <c r="C201" s="487"/>
      <c r="D201" s="438"/>
      <c r="E201" s="437"/>
      <c r="F201" s="382"/>
      <c r="G201" s="382">
        <v>2000</v>
      </c>
      <c r="H201" s="382"/>
      <c r="I201" s="382"/>
      <c r="J201" s="383"/>
      <c r="K201" s="406"/>
      <c r="L201" s="436"/>
      <c r="M201" s="283"/>
      <c r="N201" s="283"/>
      <c r="O201" s="283"/>
      <c r="P201" s="283"/>
    </row>
    <row r="202" spans="2:16" x14ac:dyDescent="0.15">
      <c r="B202" s="485" t="s">
        <v>36</v>
      </c>
      <c r="C202" s="487">
        <v>2000</v>
      </c>
      <c r="D202" s="438">
        <v>1</v>
      </c>
      <c r="E202" s="437">
        <v>5.3100000000000001E-2</v>
      </c>
      <c r="F202" s="380"/>
      <c r="G202" s="380" t="s">
        <v>37</v>
      </c>
      <c r="H202" s="380"/>
      <c r="I202" s="380"/>
      <c r="J202" s="381"/>
      <c r="K202" s="406"/>
      <c r="L202" s="435">
        <f>C202*E202</f>
        <v>106.2</v>
      </c>
      <c r="M202" s="283"/>
      <c r="N202" s="283"/>
      <c r="O202" s="283"/>
      <c r="P202" s="283"/>
    </row>
    <row r="203" spans="2:16" x14ac:dyDescent="0.15">
      <c r="B203" s="485"/>
      <c r="C203" s="487"/>
      <c r="D203" s="438"/>
      <c r="E203" s="437"/>
      <c r="F203" s="382"/>
      <c r="G203" s="382">
        <v>2000</v>
      </c>
      <c r="H203" s="382"/>
      <c r="I203" s="382"/>
      <c r="J203" s="383"/>
      <c r="K203" s="406"/>
      <c r="L203" s="436"/>
      <c r="M203" s="283"/>
      <c r="N203" s="283"/>
      <c r="O203" s="283"/>
      <c r="P203" s="283"/>
    </row>
    <row r="204" spans="2:16" x14ac:dyDescent="0.15">
      <c r="B204" s="485" t="s">
        <v>601</v>
      </c>
      <c r="C204" s="487">
        <v>1247</v>
      </c>
      <c r="D204" s="438">
        <v>6</v>
      </c>
      <c r="E204" s="437">
        <v>0.1</v>
      </c>
      <c r="F204" s="380"/>
      <c r="G204" s="380"/>
      <c r="H204" s="380"/>
      <c r="I204" s="380" t="s">
        <v>583</v>
      </c>
      <c r="J204" s="381" t="s">
        <v>583</v>
      </c>
      <c r="K204" s="406" t="s">
        <v>39</v>
      </c>
      <c r="L204" s="435">
        <f>C204*E204</f>
        <v>124.7</v>
      </c>
      <c r="M204" s="283"/>
      <c r="N204" s="283"/>
      <c r="O204" s="283"/>
      <c r="P204" s="283"/>
    </row>
    <row r="205" spans="2:16" x14ac:dyDescent="0.15">
      <c r="B205" s="485"/>
      <c r="C205" s="487"/>
      <c r="D205" s="438"/>
      <c r="E205" s="437"/>
      <c r="F205" s="382">
        <v>0</v>
      </c>
      <c r="G205" s="382">
        <v>0</v>
      </c>
      <c r="H205" s="382">
        <v>0</v>
      </c>
      <c r="I205" s="382">
        <f>C204*30%</f>
        <v>374.09999999999997</v>
      </c>
      <c r="J205" s="383">
        <f>C204*30%</f>
        <v>374.09999999999997</v>
      </c>
      <c r="K205" s="407">
        <f>C204*40%</f>
        <v>498.8</v>
      </c>
      <c r="L205" s="436"/>
      <c r="M205" s="283"/>
      <c r="N205" s="283"/>
      <c r="O205" s="283"/>
      <c r="P205" s="283"/>
    </row>
    <row r="206" spans="2:16" x14ac:dyDescent="0.15">
      <c r="B206" s="485" t="s">
        <v>601</v>
      </c>
      <c r="C206" s="487">
        <v>2335</v>
      </c>
      <c r="D206" s="438">
        <v>3</v>
      </c>
      <c r="E206" s="437">
        <v>0.08</v>
      </c>
      <c r="F206" s="380"/>
      <c r="G206" s="380"/>
      <c r="H206" s="380" t="s">
        <v>40</v>
      </c>
      <c r="I206" s="380"/>
      <c r="J206" s="381"/>
      <c r="K206" s="406"/>
      <c r="L206" s="413"/>
      <c r="M206" s="283"/>
      <c r="N206" s="283"/>
      <c r="O206" s="283"/>
      <c r="P206" s="283"/>
    </row>
    <row r="207" spans="2:16" x14ac:dyDescent="0.15">
      <c r="B207" s="485"/>
      <c r="C207" s="487"/>
      <c r="D207" s="438"/>
      <c r="E207" s="437"/>
      <c r="F207" s="382"/>
      <c r="G207" s="382"/>
      <c r="H207" s="382">
        <v>2335</v>
      </c>
      <c r="I207" s="382"/>
      <c r="J207" s="383"/>
      <c r="K207" s="406"/>
      <c r="L207" s="413">
        <f>C206*E206</f>
        <v>186.8</v>
      </c>
      <c r="M207" s="283"/>
      <c r="N207" s="283"/>
      <c r="O207" s="283"/>
      <c r="P207" s="283"/>
    </row>
    <row r="208" spans="2:16" x14ac:dyDescent="0.15">
      <c r="B208" s="485" t="s">
        <v>601</v>
      </c>
      <c r="C208" s="487">
        <v>2471</v>
      </c>
      <c r="D208" s="438">
        <v>3</v>
      </c>
      <c r="E208" s="437">
        <v>0.08</v>
      </c>
      <c r="F208" s="380"/>
      <c r="G208" s="380"/>
      <c r="H208" s="380"/>
      <c r="I208" s="380" t="s">
        <v>41</v>
      </c>
      <c r="J208" s="381"/>
      <c r="K208" s="406"/>
      <c r="L208" s="413"/>
      <c r="M208" s="283"/>
      <c r="N208" s="283"/>
      <c r="O208" s="283"/>
      <c r="P208" s="283"/>
    </row>
    <row r="209" spans="2:16" x14ac:dyDescent="0.15">
      <c r="B209" s="485"/>
      <c r="C209" s="487"/>
      <c r="D209" s="438"/>
      <c r="E209" s="437"/>
      <c r="F209" s="382"/>
      <c r="G209" s="382"/>
      <c r="H209" s="382"/>
      <c r="I209" s="382">
        <v>2471</v>
      </c>
      <c r="J209" s="383"/>
      <c r="K209" s="406"/>
      <c r="L209" s="413">
        <f>C208*E208</f>
        <v>197.68</v>
      </c>
      <c r="M209" s="283"/>
      <c r="N209" s="283"/>
      <c r="O209" s="283"/>
      <c r="P209" s="283"/>
    </row>
    <row r="210" spans="2:16" x14ac:dyDescent="0.15">
      <c r="B210" s="485" t="s">
        <v>601</v>
      </c>
      <c r="C210" s="487">
        <v>1287</v>
      </c>
      <c r="D210" s="438">
        <v>8</v>
      </c>
      <c r="E210" s="437">
        <v>0.10199999999999999</v>
      </c>
      <c r="F210" s="380"/>
      <c r="G210" s="380"/>
      <c r="H210" s="380"/>
      <c r="I210" s="380" t="s">
        <v>581</v>
      </c>
      <c r="J210" s="381" t="s">
        <v>581</v>
      </c>
      <c r="K210" s="406" t="s">
        <v>581</v>
      </c>
      <c r="L210" s="413"/>
      <c r="M210" s="283"/>
      <c r="N210" s="283"/>
      <c r="O210" s="283"/>
      <c r="P210" s="283"/>
    </row>
    <row r="211" spans="2:16" x14ac:dyDescent="0.15">
      <c r="B211" s="485"/>
      <c r="C211" s="487"/>
      <c r="D211" s="438"/>
      <c r="E211" s="437"/>
      <c r="F211" s="382">
        <v>0</v>
      </c>
      <c r="G211" s="382">
        <v>0</v>
      </c>
      <c r="H211" s="382">
        <v>0</v>
      </c>
      <c r="I211" s="382">
        <f>C210*20%</f>
        <v>257.40000000000003</v>
      </c>
      <c r="J211" s="383">
        <f>C210*20%</f>
        <v>257.40000000000003</v>
      </c>
      <c r="K211" s="407">
        <f>C210*20%</f>
        <v>257.40000000000003</v>
      </c>
      <c r="L211" s="413">
        <f>C210*E210</f>
        <v>131.274</v>
      </c>
      <c r="M211" s="283"/>
      <c r="N211" s="283"/>
      <c r="O211" s="283"/>
      <c r="P211" s="283"/>
    </row>
    <row r="212" spans="2:16" x14ac:dyDescent="0.15">
      <c r="B212" s="485" t="s">
        <v>601</v>
      </c>
      <c r="C212" s="487">
        <v>492</v>
      </c>
      <c r="D212" s="438">
        <v>5</v>
      </c>
      <c r="E212" s="437">
        <v>8.5000000000000006E-2</v>
      </c>
      <c r="F212" s="380"/>
      <c r="G212" s="380"/>
      <c r="H212" s="380"/>
      <c r="I212" s="380" t="s">
        <v>584</v>
      </c>
      <c r="J212" s="381" t="s">
        <v>584</v>
      </c>
      <c r="K212" s="406" t="s">
        <v>42</v>
      </c>
      <c r="L212" s="413"/>
      <c r="M212" s="283"/>
      <c r="N212" s="283"/>
      <c r="O212" s="283"/>
      <c r="P212" s="283"/>
    </row>
    <row r="213" spans="2:16" x14ac:dyDescent="0.15">
      <c r="B213" s="485"/>
      <c r="C213" s="487"/>
      <c r="D213" s="438"/>
      <c r="E213" s="437"/>
      <c r="F213" s="382">
        <v>0</v>
      </c>
      <c r="G213" s="382">
        <v>0</v>
      </c>
      <c r="H213" s="382">
        <v>0</v>
      </c>
      <c r="I213" s="382">
        <f>C212*30%</f>
        <v>147.6</v>
      </c>
      <c r="J213" s="383">
        <f>C212*30%</f>
        <v>147.6</v>
      </c>
      <c r="K213" s="406">
        <f>C212*40%</f>
        <v>196.8</v>
      </c>
      <c r="L213" s="413">
        <f>C212*E212</f>
        <v>41.82</v>
      </c>
      <c r="M213" s="283"/>
      <c r="N213" s="283"/>
      <c r="O213" s="283"/>
      <c r="P213" s="283"/>
    </row>
    <row r="214" spans="2:16" x14ac:dyDescent="0.15">
      <c r="B214" s="485" t="s">
        <v>601</v>
      </c>
      <c r="C214" s="487">
        <v>1106</v>
      </c>
      <c r="D214" s="438">
        <v>3</v>
      </c>
      <c r="E214" s="437">
        <v>6.5000000000000002E-2</v>
      </c>
      <c r="F214" s="380"/>
      <c r="G214" s="380" t="s">
        <v>39</v>
      </c>
      <c r="H214" s="380"/>
      <c r="I214" s="380"/>
      <c r="J214" s="381"/>
      <c r="K214" s="406"/>
      <c r="L214" s="413"/>
      <c r="M214" s="283"/>
      <c r="N214" s="283"/>
      <c r="O214" s="283"/>
      <c r="P214" s="283"/>
    </row>
    <row r="215" spans="2:16" x14ac:dyDescent="0.15">
      <c r="B215" s="485"/>
      <c r="C215" s="487"/>
      <c r="D215" s="438"/>
      <c r="E215" s="437"/>
      <c r="F215" s="382"/>
      <c r="G215" s="382">
        <v>1106</v>
      </c>
      <c r="H215" s="382"/>
      <c r="I215" s="382"/>
      <c r="J215" s="383"/>
      <c r="K215" s="406"/>
      <c r="L215" s="413">
        <f>C214*E214</f>
        <v>71.89</v>
      </c>
      <c r="M215" s="283"/>
      <c r="N215" s="283"/>
      <c r="O215" s="283"/>
      <c r="P215" s="283"/>
    </row>
    <row r="216" spans="2:16" x14ac:dyDescent="0.15">
      <c r="B216" s="485" t="s">
        <v>601</v>
      </c>
      <c r="C216" s="523">
        <v>2000</v>
      </c>
      <c r="D216" s="438">
        <v>3</v>
      </c>
      <c r="E216" s="437">
        <v>7.4700000000000003E-2</v>
      </c>
      <c r="F216" s="382"/>
      <c r="G216" s="382"/>
      <c r="H216" s="382" t="s">
        <v>581</v>
      </c>
      <c r="I216" s="382"/>
      <c r="J216" s="383"/>
      <c r="K216" s="406"/>
      <c r="L216" s="413"/>
      <c r="M216" s="283"/>
      <c r="N216" s="283"/>
      <c r="O216" s="283"/>
      <c r="P216" s="283"/>
    </row>
    <row r="217" spans="2:16" x14ac:dyDescent="0.15">
      <c r="B217" s="485"/>
      <c r="C217" s="523"/>
      <c r="D217" s="438"/>
      <c r="E217" s="437"/>
      <c r="F217" s="382"/>
      <c r="G217" s="382"/>
      <c r="H217" s="382">
        <v>2000</v>
      </c>
      <c r="I217" s="382"/>
      <c r="J217" s="383"/>
      <c r="K217" s="406"/>
      <c r="L217" s="413">
        <f>C216*E216</f>
        <v>149.4</v>
      </c>
      <c r="M217" s="283"/>
      <c r="N217" s="283"/>
      <c r="O217" s="283"/>
      <c r="P217" s="283"/>
    </row>
    <row r="218" spans="2:16" x14ac:dyDescent="0.15">
      <c r="B218" s="485" t="s">
        <v>601</v>
      </c>
      <c r="C218" s="523">
        <v>3000</v>
      </c>
      <c r="D218" s="438">
        <v>3</v>
      </c>
      <c r="E218" s="437">
        <v>5.3100000000000001E-2</v>
      </c>
      <c r="F218" s="382"/>
      <c r="G218" s="382"/>
      <c r="H218" s="382"/>
      <c r="I218" s="382" t="s">
        <v>582</v>
      </c>
      <c r="J218" s="383"/>
      <c r="K218" s="406"/>
      <c r="L218" s="413"/>
      <c r="M218" s="283"/>
      <c r="N218" s="283"/>
      <c r="O218" s="283"/>
      <c r="P218" s="283"/>
    </row>
    <row r="219" spans="2:16" x14ac:dyDescent="0.15">
      <c r="B219" s="485"/>
      <c r="C219" s="523"/>
      <c r="D219" s="438"/>
      <c r="E219" s="437"/>
      <c r="F219" s="382"/>
      <c r="G219" s="382"/>
      <c r="H219" s="382"/>
      <c r="I219" s="382">
        <v>3000</v>
      </c>
      <c r="J219" s="383"/>
      <c r="K219" s="406"/>
      <c r="L219" s="413">
        <f>C218*E218</f>
        <v>159.30000000000001</v>
      </c>
      <c r="M219" s="283"/>
      <c r="N219" s="283"/>
      <c r="O219" s="283"/>
      <c r="P219" s="283"/>
    </row>
    <row r="220" spans="2:16" x14ac:dyDescent="0.15">
      <c r="B220" s="485" t="s">
        <v>43</v>
      </c>
      <c r="C220" s="487">
        <v>2000</v>
      </c>
      <c r="D220" s="438">
        <v>1</v>
      </c>
      <c r="E220" s="437">
        <v>5.3100000000000001E-2</v>
      </c>
      <c r="F220" s="380" t="s">
        <v>40</v>
      </c>
      <c r="G220" s="380"/>
      <c r="H220" s="380"/>
      <c r="I220" s="380"/>
      <c r="J220" s="381"/>
      <c r="K220" s="406"/>
      <c r="L220" s="413"/>
      <c r="M220" s="283"/>
      <c r="N220" s="283"/>
      <c r="O220" s="283"/>
      <c r="P220" s="283"/>
    </row>
    <row r="221" spans="2:16" x14ac:dyDescent="0.15">
      <c r="B221" s="485"/>
      <c r="C221" s="487"/>
      <c r="D221" s="438"/>
      <c r="E221" s="437"/>
      <c r="F221" s="382">
        <v>2000</v>
      </c>
      <c r="G221" s="382"/>
      <c r="H221" s="382"/>
      <c r="I221" s="382"/>
      <c r="J221" s="383"/>
      <c r="K221" s="407"/>
      <c r="L221" s="413">
        <f>C220*E220</f>
        <v>106.2</v>
      </c>
      <c r="M221" s="283"/>
      <c r="N221" s="283"/>
      <c r="O221" s="283"/>
      <c r="P221" s="283"/>
    </row>
    <row r="222" spans="2:16" x14ac:dyDescent="0.15">
      <c r="B222" s="485" t="s">
        <v>43</v>
      </c>
      <c r="C222" s="487">
        <v>1000</v>
      </c>
      <c r="D222" s="438">
        <v>1</v>
      </c>
      <c r="E222" s="437">
        <v>6.13E-2</v>
      </c>
      <c r="F222" s="380"/>
      <c r="G222" s="380" t="s">
        <v>41</v>
      </c>
      <c r="H222" s="380"/>
      <c r="I222" s="380"/>
      <c r="J222" s="381"/>
      <c r="K222" s="406"/>
      <c r="L222" s="413"/>
      <c r="M222" s="283"/>
      <c r="N222" s="283"/>
      <c r="O222" s="283"/>
      <c r="P222" s="283"/>
    </row>
    <row r="223" spans="2:16" x14ac:dyDescent="0.15">
      <c r="B223" s="485"/>
      <c r="C223" s="487"/>
      <c r="D223" s="438"/>
      <c r="E223" s="437"/>
      <c r="F223" s="382"/>
      <c r="G223" s="382">
        <v>1000</v>
      </c>
      <c r="H223" s="382"/>
      <c r="I223" s="382"/>
      <c r="J223" s="383"/>
      <c r="K223" s="407"/>
      <c r="L223" s="413">
        <f>C222*E222</f>
        <v>61.3</v>
      </c>
      <c r="M223" s="283"/>
      <c r="N223" s="283"/>
      <c r="O223" s="283"/>
      <c r="P223" s="283"/>
    </row>
    <row r="224" spans="2:16" x14ac:dyDescent="0.15">
      <c r="B224" s="485" t="s">
        <v>44</v>
      </c>
      <c r="C224" s="487">
        <v>2000</v>
      </c>
      <c r="D224" s="438">
        <v>1</v>
      </c>
      <c r="E224" s="437">
        <v>6.1600000000000002E-2</v>
      </c>
      <c r="F224" s="380" t="s">
        <v>45</v>
      </c>
      <c r="G224" s="380"/>
      <c r="H224" s="380"/>
      <c r="I224" s="380"/>
      <c r="J224" s="381"/>
      <c r="K224" s="406"/>
      <c r="L224" s="413"/>
      <c r="M224" s="283"/>
      <c r="N224" s="283"/>
      <c r="O224" s="283"/>
      <c r="P224" s="283"/>
    </row>
    <row r="225" spans="2:16" x14ac:dyDescent="0.15">
      <c r="B225" s="485"/>
      <c r="C225" s="487"/>
      <c r="D225" s="438"/>
      <c r="E225" s="437"/>
      <c r="F225" s="382">
        <v>2000</v>
      </c>
      <c r="G225" s="382"/>
      <c r="H225" s="382"/>
      <c r="I225" s="382"/>
      <c r="J225" s="383"/>
      <c r="K225" s="407"/>
      <c r="L225" s="413">
        <f>C224*E224</f>
        <v>123.2</v>
      </c>
      <c r="M225" s="283"/>
      <c r="N225" s="283"/>
      <c r="O225" s="283"/>
      <c r="P225" s="283"/>
    </row>
    <row r="226" spans="2:16" x14ac:dyDescent="0.15">
      <c r="B226" s="485" t="s">
        <v>44</v>
      </c>
      <c r="C226" s="487">
        <v>1000</v>
      </c>
      <c r="D226" s="438">
        <v>1</v>
      </c>
      <c r="E226" s="437">
        <v>5.8500000000000003E-2</v>
      </c>
      <c r="F226" s="380"/>
      <c r="G226" s="380" t="s">
        <v>41</v>
      </c>
      <c r="H226" s="380"/>
      <c r="I226" s="380"/>
      <c r="J226" s="381"/>
      <c r="K226" s="406"/>
      <c r="L226" s="413"/>
      <c r="M226" s="283"/>
      <c r="N226" s="283"/>
      <c r="O226" s="283"/>
      <c r="P226" s="283"/>
    </row>
    <row r="227" spans="2:16" x14ac:dyDescent="0.15">
      <c r="B227" s="485"/>
      <c r="C227" s="487"/>
      <c r="D227" s="438"/>
      <c r="E227" s="437"/>
      <c r="F227" s="382"/>
      <c r="G227" s="382">
        <v>1000</v>
      </c>
      <c r="H227" s="382"/>
      <c r="I227" s="382"/>
      <c r="J227" s="383"/>
      <c r="K227" s="407"/>
      <c r="L227" s="413">
        <f>C226*E226</f>
        <v>58.5</v>
      </c>
      <c r="M227" s="283"/>
      <c r="N227" s="283"/>
      <c r="O227" s="283"/>
      <c r="P227" s="283"/>
    </row>
    <row r="228" spans="2:16" x14ac:dyDescent="0.15">
      <c r="B228" s="485" t="s">
        <v>46</v>
      </c>
      <c r="C228" s="487">
        <v>2500</v>
      </c>
      <c r="D228" s="438">
        <v>1</v>
      </c>
      <c r="E228" s="437">
        <v>5.8400000000000001E-2</v>
      </c>
      <c r="F228" s="380"/>
      <c r="G228" s="380" t="s">
        <v>42</v>
      </c>
      <c r="H228" s="380"/>
      <c r="I228" s="380"/>
      <c r="J228" s="381"/>
      <c r="K228" s="406"/>
      <c r="L228" s="413"/>
      <c r="M228" s="283"/>
      <c r="N228" s="283"/>
      <c r="O228" s="283"/>
      <c r="P228" s="283"/>
    </row>
    <row r="229" spans="2:16" x14ac:dyDescent="0.15">
      <c r="B229" s="485"/>
      <c r="C229" s="487"/>
      <c r="D229" s="438"/>
      <c r="E229" s="437"/>
      <c r="F229" s="382"/>
      <c r="G229" s="382">
        <v>2500</v>
      </c>
      <c r="H229" s="382"/>
      <c r="I229" s="382"/>
      <c r="J229" s="383"/>
      <c r="K229" s="407"/>
      <c r="L229" s="413">
        <f>C228*E228</f>
        <v>146</v>
      </c>
      <c r="M229" s="283"/>
      <c r="N229" s="283"/>
      <c r="O229" s="283"/>
      <c r="P229" s="283"/>
    </row>
    <row r="230" spans="2:16" x14ac:dyDescent="0.15">
      <c r="B230" s="485" t="s">
        <v>46</v>
      </c>
      <c r="C230" s="487">
        <v>1500</v>
      </c>
      <c r="D230" s="456">
        <v>1</v>
      </c>
      <c r="E230" s="437">
        <v>5.8400000000000001E-2</v>
      </c>
      <c r="F230" s="378"/>
      <c r="G230" s="378" t="s">
        <v>47</v>
      </c>
      <c r="H230" s="378"/>
      <c r="I230" s="378"/>
      <c r="J230" s="384"/>
      <c r="K230" s="408"/>
      <c r="L230" s="413"/>
      <c r="M230" s="283"/>
      <c r="N230" s="283"/>
      <c r="O230" s="283"/>
      <c r="P230" s="283"/>
    </row>
    <row r="231" spans="2:16" x14ac:dyDescent="0.15">
      <c r="B231" s="485"/>
      <c r="C231" s="487"/>
      <c r="D231" s="456"/>
      <c r="E231" s="437"/>
      <c r="F231" s="385"/>
      <c r="G231" s="385">
        <v>1500</v>
      </c>
      <c r="H231" s="385"/>
      <c r="I231" s="385"/>
      <c r="J231" s="402"/>
      <c r="K231" s="409"/>
      <c r="L231" s="413">
        <f>C230*E230</f>
        <v>87.6</v>
      </c>
      <c r="M231" s="283"/>
      <c r="N231" s="283"/>
      <c r="O231" s="283"/>
      <c r="P231" s="283"/>
    </row>
    <row r="232" spans="2:16" x14ac:dyDescent="0.15">
      <c r="B232" s="485" t="s">
        <v>46</v>
      </c>
      <c r="C232" s="487">
        <v>2500</v>
      </c>
      <c r="D232" s="456">
        <v>1</v>
      </c>
      <c r="E232" s="437">
        <v>8.2170000000000007E-2</v>
      </c>
      <c r="F232" s="378" t="s">
        <v>48</v>
      </c>
      <c r="G232" s="386"/>
      <c r="H232" s="386"/>
      <c r="I232" s="378"/>
      <c r="J232" s="384"/>
      <c r="K232" s="408"/>
      <c r="L232" s="413"/>
      <c r="M232" s="283"/>
      <c r="N232" s="283"/>
      <c r="O232" s="283"/>
      <c r="P232" s="283"/>
    </row>
    <row r="233" spans="2:16" x14ac:dyDescent="0.15">
      <c r="B233" s="485"/>
      <c r="C233" s="487"/>
      <c r="D233" s="456"/>
      <c r="E233" s="437"/>
      <c r="F233" s="378">
        <v>2500</v>
      </c>
      <c r="G233" s="378"/>
      <c r="H233" s="378"/>
      <c r="I233" s="378"/>
      <c r="J233" s="384"/>
      <c r="K233" s="408"/>
      <c r="L233" s="413">
        <f>C232*E232</f>
        <v>205.42500000000001</v>
      </c>
      <c r="M233" s="283"/>
      <c r="N233" s="283"/>
      <c r="O233" s="283"/>
      <c r="P233" s="283"/>
    </row>
    <row r="234" spans="2:16" x14ac:dyDescent="0.15">
      <c r="B234" s="486" t="s">
        <v>49</v>
      </c>
      <c r="C234" s="487">
        <v>2000</v>
      </c>
      <c r="D234" s="456">
        <v>1</v>
      </c>
      <c r="E234" s="437">
        <v>5.8400000000000001E-2</v>
      </c>
      <c r="F234" s="378"/>
      <c r="G234" s="386" t="s">
        <v>50</v>
      </c>
      <c r="H234" s="378"/>
      <c r="I234" s="378"/>
      <c r="J234" s="384"/>
      <c r="K234" s="408"/>
      <c r="L234" s="413"/>
      <c r="M234" s="283"/>
      <c r="N234" s="283"/>
      <c r="O234" s="283"/>
      <c r="P234" s="283"/>
    </row>
    <row r="235" spans="2:16" x14ac:dyDescent="0.15">
      <c r="B235" s="486"/>
      <c r="C235" s="487"/>
      <c r="D235" s="456"/>
      <c r="E235" s="437"/>
      <c r="F235" s="387"/>
      <c r="G235" s="387">
        <v>2000</v>
      </c>
      <c r="H235" s="387"/>
      <c r="I235" s="387"/>
      <c r="J235" s="388"/>
      <c r="K235" s="410"/>
      <c r="L235" s="413">
        <f>C234*E234</f>
        <v>116.8</v>
      </c>
      <c r="M235" s="283"/>
      <c r="N235" s="283"/>
      <c r="O235" s="283"/>
      <c r="P235" s="283"/>
    </row>
    <row r="236" spans="2:16" x14ac:dyDescent="0.15">
      <c r="B236" s="486" t="s">
        <v>51</v>
      </c>
      <c r="C236" s="523">
        <v>1500</v>
      </c>
      <c r="D236" s="456">
        <v>3</v>
      </c>
      <c r="E236" s="437">
        <v>5.3999999999999999E-2</v>
      </c>
      <c r="F236" s="387"/>
      <c r="G236" s="387"/>
      <c r="H236" s="387"/>
      <c r="I236" s="387" t="s">
        <v>580</v>
      </c>
      <c r="J236" s="388"/>
      <c r="K236" s="410"/>
      <c r="L236" s="413"/>
      <c r="M236" s="283"/>
      <c r="N236" s="283"/>
      <c r="O236" s="283"/>
      <c r="P236" s="283"/>
    </row>
    <row r="237" spans="2:16" x14ac:dyDescent="0.15">
      <c r="B237" s="486"/>
      <c r="C237" s="523"/>
      <c r="D237" s="456"/>
      <c r="E237" s="437"/>
      <c r="F237" s="387"/>
      <c r="G237" s="387"/>
      <c r="H237" s="387"/>
      <c r="I237" s="387">
        <v>1500</v>
      </c>
      <c r="J237" s="388"/>
      <c r="K237" s="410"/>
      <c r="L237" s="413">
        <f>C236*E236</f>
        <v>81</v>
      </c>
      <c r="M237" s="283"/>
      <c r="N237" s="283"/>
      <c r="O237" s="283"/>
      <c r="P237" s="283"/>
    </row>
    <row r="238" spans="2:16" x14ac:dyDescent="0.15">
      <c r="B238" s="486" t="s">
        <v>51</v>
      </c>
      <c r="C238" s="487">
        <v>1500</v>
      </c>
      <c r="D238" s="456">
        <v>2</v>
      </c>
      <c r="E238" s="437">
        <v>5.3999999999999999E-2</v>
      </c>
      <c r="F238" s="378"/>
      <c r="G238" s="378"/>
      <c r="H238" s="378" t="s">
        <v>50</v>
      </c>
      <c r="I238" s="378"/>
      <c r="J238" s="384"/>
      <c r="K238" s="408"/>
      <c r="L238" s="413"/>
      <c r="M238" s="283"/>
      <c r="N238" s="283"/>
      <c r="O238" s="283"/>
      <c r="P238" s="283"/>
    </row>
    <row r="239" spans="2:16" x14ac:dyDescent="0.15">
      <c r="B239" s="486"/>
      <c r="C239" s="487"/>
      <c r="D239" s="456"/>
      <c r="E239" s="437"/>
      <c r="F239" s="382"/>
      <c r="G239" s="382"/>
      <c r="H239" s="382">
        <v>1500</v>
      </c>
      <c r="I239" s="382"/>
      <c r="J239" s="383"/>
      <c r="K239" s="407"/>
      <c r="L239" s="413">
        <f>C238*E238</f>
        <v>81</v>
      </c>
      <c r="M239" s="283"/>
      <c r="N239" s="283"/>
      <c r="O239" s="283"/>
      <c r="P239" s="283"/>
    </row>
    <row r="240" spans="2:16" x14ac:dyDescent="0.15">
      <c r="B240" s="486" t="s">
        <v>52</v>
      </c>
      <c r="C240" s="487">
        <v>2000</v>
      </c>
      <c r="D240" s="456">
        <v>2</v>
      </c>
      <c r="E240" s="437">
        <v>7.4700000000000003E-2</v>
      </c>
      <c r="F240" s="378" t="s">
        <v>53</v>
      </c>
      <c r="G240" s="378"/>
      <c r="H240" s="378"/>
      <c r="I240" s="378"/>
      <c r="J240" s="384"/>
      <c r="K240" s="408"/>
      <c r="L240" s="413"/>
      <c r="M240" s="283"/>
      <c r="N240" s="283"/>
      <c r="O240" s="283"/>
      <c r="P240" s="283"/>
    </row>
    <row r="241" spans="2:16" x14ac:dyDescent="0.15">
      <c r="B241" s="486"/>
      <c r="C241" s="487"/>
      <c r="D241" s="456"/>
      <c r="E241" s="437"/>
      <c r="F241" s="382">
        <v>2000</v>
      </c>
      <c r="G241" s="382"/>
      <c r="H241" s="382"/>
      <c r="I241" s="382"/>
      <c r="J241" s="383"/>
      <c r="K241" s="407"/>
      <c r="L241" s="413">
        <f>C240*E240</f>
        <v>149.4</v>
      </c>
      <c r="M241" s="283"/>
      <c r="N241" s="283"/>
      <c r="O241" s="283"/>
      <c r="P241" s="283"/>
    </row>
    <row r="242" spans="2:16" x14ac:dyDescent="0.15">
      <c r="B242" s="486" t="s">
        <v>606</v>
      </c>
      <c r="C242" s="523">
        <v>5000</v>
      </c>
      <c r="D242" s="456">
        <v>3</v>
      </c>
      <c r="E242" s="437">
        <v>5.3100000000000001E-2</v>
      </c>
      <c r="F242" s="382"/>
      <c r="G242" s="382"/>
      <c r="H242" s="382"/>
      <c r="I242" s="382" t="s">
        <v>580</v>
      </c>
      <c r="J242" s="383"/>
      <c r="K242" s="407"/>
      <c r="L242" s="413"/>
      <c r="M242" s="283"/>
      <c r="N242" s="283"/>
      <c r="O242" s="283"/>
      <c r="P242" s="283"/>
    </row>
    <row r="243" spans="2:16" x14ac:dyDescent="0.15">
      <c r="B243" s="486"/>
      <c r="C243" s="523"/>
      <c r="D243" s="456"/>
      <c r="E243" s="437"/>
      <c r="F243" s="382"/>
      <c r="G243" s="382"/>
      <c r="H243" s="382"/>
      <c r="I243" s="382">
        <v>5000</v>
      </c>
      <c r="J243" s="383"/>
      <c r="K243" s="407"/>
      <c r="L243" s="413">
        <f>C242*E242</f>
        <v>265.5</v>
      </c>
      <c r="M243" s="283"/>
      <c r="N243" s="283"/>
      <c r="O243" s="283"/>
      <c r="P243" s="283"/>
    </row>
    <row r="244" spans="2:16" x14ac:dyDescent="0.15">
      <c r="B244" s="486" t="s">
        <v>607</v>
      </c>
      <c r="C244" s="523">
        <v>2000</v>
      </c>
      <c r="D244" s="456">
        <v>3</v>
      </c>
      <c r="E244" s="437">
        <v>5.3100000000000001E-2</v>
      </c>
      <c r="F244" s="382"/>
      <c r="G244" s="382"/>
      <c r="H244" s="382"/>
      <c r="I244" s="382" t="s">
        <v>580</v>
      </c>
      <c r="J244" s="383"/>
      <c r="K244" s="407"/>
      <c r="L244" s="413"/>
      <c r="M244" s="283"/>
      <c r="N244" s="283"/>
      <c r="O244" s="283"/>
      <c r="P244" s="283"/>
    </row>
    <row r="245" spans="2:16" x14ac:dyDescent="0.15">
      <c r="B245" s="486"/>
      <c r="C245" s="523"/>
      <c r="D245" s="456"/>
      <c r="E245" s="437"/>
      <c r="F245" s="382"/>
      <c r="G245" s="382"/>
      <c r="H245" s="382"/>
      <c r="I245" s="382">
        <v>2000</v>
      </c>
      <c r="J245" s="383"/>
      <c r="K245" s="407"/>
      <c r="L245" s="413">
        <f>C244*E244</f>
        <v>106.2</v>
      </c>
      <c r="M245" s="283"/>
      <c r="N245" s="283"/>
      <c r="O245" s="283"/>
      <c r="P245" s="283"/>
    </row>
    <row r="246" spans="2:16" x14ac:dyDescent="0.15">
      <c r="B246" s="486" t="s">
        <v>52</v>
      </c>
      <c r="C246" s="487">
        <v>3000</v>
      </c>
      <c r="D246" s="456">
        <v>3</v>
      </c>
      <c r="E246" s="437">
        <v>7.4700000000000003E-2</v>
      </c>
      <c r="F246" s="378"/>
      <c r="G246" s="378" t="s">
        <v>53</v>
      </c>
      <c r="H246" s="378"/>
      <c r="I246" s="378"/>
      <c r="J246" s="384"/>
      <c r="K246" s="408"/>
      <c r="L246" s="413"/>
      <c r="M246" s="283"/>
      <c r="N246" s="283"/>
      <c r="O246" s="283"/>
      <c r="P246" s="283"/>
    </row>
    <row r="247" spans="2:16" x14ac:dyDescent="0.15">
      <c r="B247" s="486"/>
      <c r="C247" s="487"/>
      <c r="D247" s="456"/>
      <c r="E247" s="437"/>
      <c r="F247" s="382"/>
      <c r="G247" s="382">
        <v>3000</v>
      </c>
      <c r="H247" s="382"/>
      <c r="I247" s="382"/>
      <c r="J247" s="383"/>
      <c r="K247" s="407"/>
      <c r="L247" s="413">
        <f>C246*E246</f>
        <v>224.1</v>
      </c>
      <c r="M247" s="283"/>
      <c r="N247" s="283"/>
      <c r="O247" s="283"/>
      <c r="P247" s="283"/>
    </row>
    <row r="248" spans="2:16" x14ac:dyDescent="0.15">
      <c r="B248" s="486" t="s">
        <v>54</v>
      </c>
      <c r="C248" s="487">
        <v>3000</v>
      </c>
      <c r="D248" s="456">
        <v>1</v>
      </c>
      <c r="E248" s="437">
        <v>6.1600000000000002E-2</v>
      </c>
      <c r="F248" s="378" t="s">
        <v>45</v>
      </c>
      <c r="G248" s="378"/>
      <c r="H248" s="378"/>
      <c r="I248" s="378"/>
      <c r="J248" s="384"/>
      <c r="K248" s="408"/>
      <c r="L248" s="413"/>
      <c r="M248" s="283"/>
      <c r="N248" s="283"/>
      <c r="O248" s="283"/>
      <c r="P248" s="283"/>
    </row>
    <row r="249" spans="2:16" x14ac:dyDescent="0.15">
      <c r="B249" s="486"/>
      <c r="C249" s="487"/>
      <c r="D249" s="456"/>
      <c r="E249" s="437"/>
      <c r="F249" s="382">
        <v>3000</v>
      </c>
      <c r="G249" s="382"/>
      <c r="H249" s="382"/>
      <c r="I249" s="382"/>
      <c r="J249" s="383"/>
      <c r="K249" s="407"/>
      <c r="L249" s="413">
        <f>C248*E248</f>
        <v>184.8</v>
      </c>
      <c r="M249" s="283"/>
      <c r="N249" s="283"/>
      <c r="O249" s="283"/>
      <c r="P249" s="283"/>
    </row>
    <row r="250" spans="2:16" x14ac:dyDescent="0.15">
      <c r="B250" s="486" t="s">
        <v>54</v>
      </c>
      <c r="C250" s="487">
        <v>1680</v>
      </c>
      <c r="D250" s="456">
        <v>1</v>
      </c>
      <c r="E250" s="437">
        <v>6.1600000000000002E-2</v>
      </c>
      <c r="F250" s="378"/>
      <c r="G250" s="386" t="s">
        <v>41</v>
      </c>
      <c r="H250" s="386"/>
      <c r="I250" s="386"/>
      <c r="J250" s="389"/>
      <c r="K250" s="411"/>
      <c r="L250" s="413"/>
      <c r="M250" s="283"/>
      <c r="N250" s="283"/>
      <c r="O250" s="283"/>
      <c r="P250" s="283"/>
    </row>
    <row r="251" spans="2:16" x14ac:dyDescent="0.15">
      <c r="B251" s="486"/>
      <c r="C251" s="487"/>
      <c r="D251" s="456"/>
      <c r="E251" s="437"/>
      <c r="F251" s="382"/>
      <c r="G251" s="382">
        <v>1680</v>
      </c>
      <c r="H251" s="382"/>
      <c r="I251" s="382"/>
      <c r="J251" s="383"/>
      <c r="K251" s="407"/>
      <c r="L251" s="413">
        <f>C250*E250</f>
        <v>103.488</v>
      </c>
      <c r="M251" s="283"/>
      <c r="N251" s="283"/>
      <c r="O251" s="283"/>
      <c r="P251" s="283"/>
    </row>
    <row r="252" spans="2:16" x14ac:dyDescent="0.15">
      <c r="B252" s="486" t="s">
        <v>54</v>
      </c>
      <c r="C252" s="487">
        <v>1200</v>
      </c>
      <c r="D252" s="456">
        <v>1</v>
      </c>
      <c r="E252" s="437">
        <v>5.3100000000000001E-2</v>
      </c>
      <c r="F252" s="378"/>
      <c r="G252" s="378" t="s">
        <v>38</v>
      </c>
      <c r="H252" s="378"/>
      <c r="I252" s="378"/>
      <c r="J252" s="384"/>
      <c r="K252" s="408"/>
      <c r="L252" s="413"/>
      <c r="M252" s="283"/>
      <c r="N252" s="283"/>
      <c r="O252" s="283"/>
      <c r="P252" s="283"/>
    </row>
    <row r="253" spans="2:16" x14ac:dyDescent="0.15">
      <c r="B253" s="486"/>
      <c r="C253" s="487"/>
      <c r="D253" s="456"/>
      <c r="E253" s="437"/>
      <c r="F253" s="382"/>
      <c r="G253" s="382">
        <v>1200</v>
      </c>
      <c r="H253" s="382"/>
      <c r="I253" s="382"/>
      <c r="J253" s="383"/>
      <c r="K253" s="407"/>
      <c r="L253" s="413">
        <f>C252*E252</f>
        <v>63.72</v>
      </c>
      <c r="M253" s="283"/>
      <c r="N253" s="283"/>
      <c r="O253" s="283"/>
      <c r="P253" s="283"/>
    </row>
    <row r="254" spans="2:16" ht="12.75" thickBot="1" x14ac:dyDescent="0.2">
      <c r="B254" s="403" t="s">
        <v>174</v>
      </c>
      <c r="C254" s="401">
        <f>SUM(C196:C253)</f>
        <v>57318</v>
      </c>
      <c r="D254" s="441" t="s">
        <v>300</v>
      </c>
      <c r="E254" s="441"/>
      <c r="F254" s="382">
        <f>F249+F241+F233+F225+F221</f>
        <v>11500</v>
      </c>
      <c r="G254" s="382">
        <f>G253+G251+G247+G235+G231+G229+G227+G223+G215+G203+G201+G199</f>
        <v>20986</v>
      </c>
      <c r="H254" s="382">
        <f>H239+H217+H207+H197</f>
        <v>7835</v>
      </c>
      <c r="I254" s="382">
        <f>I245+I243+I237+I219+I213+I211+I209+I205</f>
        <v>14750.1</v>
      </c>
      <c r="J254" s="383">
        <f>J213+J211+J205</f>
        <v>779.09999999999991</v>
      </c>
      <c r="K254" s="412">
        <f>K213+K211+K205</f>
        <v>953</v>
      </c>
      <c r="L254" s="413">
        <f>SUM(L196:L253)</f>
        <v>3695.0970000000002</v>
      </c>
    </row>
    <row r="255" spans="2:16" ht="12.75" thickBot="1" x14ac:dyDescent="0.2">
      <c r="B255" s="515" t="s">
        <v>301</v>
      </c>
      <c r="C255" s="517" t="s">
        <v>599</v>
      </c>
      <c r="D255" s="517"/>
      <c r="E255" s="517"/>
      <c r="F255" s="517"/>
      <c r="G255" s="517"/>
      <c r="H255" s="517"/>
      <c r="I255" s="517"/>
      <c r="J255" s="518"/>
      <c r="K255" s="206" t="s">
        <v>625</v>
      </c>
      <c r="L255" s="414">
        <f>L254/C254</f>
        <v>6.4466607348476923E-2</v>
      </c>
    </row>
    <row r="256" spans="2:16" x14ac:dyDescent="0.15">
      <c r="B256" s="516"/>
      <c r="C256" s="517"/>
      <c r="D256" s="517"/>
      <c r="E256" s="517"/>
      <c r="F256" s="517"/>
      <c r="G256" s="517"/>
      <c r="H256" s="517"/>
      <c r="I256" s="517"/>
      <c r="J256" s="518"/>
    </row>
    <row r="257" spans="2:10" x14ac:dyDescent="0.15">
      <c r="B257" s="515" t="s">
        <v>302</v>
      </c>
      <c r="C257" s="513" t="s">
        <v>585</v>
      </c>
      <c r="D257" s="513"/>
      <c r="E257" s="513"/>
      <c r="F257" s="513"/>
      <c r="G257" s="513"/>
      <c r="H257" s="513"/>
      <c r="I257" s="513"/>
      <c r="J257" s="514"/>
    </row>
    <row r="258" spans="2:10" ht="12.75" thickBot="1" x14ac:dyDescent="0.2">
      <c r="B258" s="571"/>
      <c r="C258" s="519"/>
      <c r="D258" s="519"/>
      <c r="E258" s="519"/>
      <c r="F258" s="519"/>
      <c r="G258" s="519"/>
      <c r="H258" s="519"/>
      <c r="I258" s="519"/>
      <c r="J258" s="520"/>
    </row>
    <row r="259" spans="2:10" x14ac:dyDescent="0.15">
      <c r="B259" s="464" t="s">
        <v>303</v>
      </c>
      <c r="C259" s="464"/>
      <c r="D259" s="464"/>
      <c r="E259" s="464"/>
      <c r="F259" s="464"/>
      <c r="G259" s="464"/>
      <c r="H259" s="464"/>
      <c r="I259" s="464"/>
      <c r="J259" s="464"/>
    </row>
    <row r="260" spans="2:10" x14ac:dyDescent="0.15">
      <c r="B260" s="512" t="s">
        <v>182</v>
      </c>
      <c r="C260" s="512" t="s">
        <v>183</v>
      </c>
      <c r="D260" s="512" t="s">
        <v>184</v>
      </c>
      <c r="E260" s="512" t="s">
        <v>150</v>
      </c>
      <c r="F260" s="512" t="s">
        <v>63</v>
      </c>
      <c r="G260" s="512"/>
      <c r="H260" s="512"/>
      <c r="I260" s="512"/>
      <c r="J260" s="512"/>
    </row>
    <row r="261" spans="2:10" x14ac:dyDescent="0.15">
      <c r="B261" s="512"/>
      <c r="C261" s="512"/>
      <c r="D261" s="512"/>
      <c r="E261" s="512"/>
      <c r="F261" s="390">
        <v>2006</v>
      </c>
      <c r="G261" s="390">
        <v>2007</v>
      </c>
      <c r="H261" s="390">
        <v>2008</v>
      </c>
      <c r="I261" s="391">
        <v>39916</v>
      </c>
      <c r="J261" s="390">
        <v>2010</v>
      </c>
    </row>
    <row r="262" spans="2:10" x14ac:dyDescent="0.15">
      <c r="B262" s="382"/>
      <c r="C262" s="382"/>
      <c r="D262" s="393"/>
      <c r="E262" s="394"/>
      <c r="F262" s="382"/>
      <c r="G262" s="382"/>
      <c r="H262" s="382"/>
      <c r="I262" s="382"/>
      <c r="J262" s="382"/>
    </row>
    <row r="263" spans="2:10" x14ac:dyDescent="0.15">
      <c r="B263" s="378"/>
      <c r="C263" s="378"/>
      <c r="D263" s="378"/>
      <c r="E263" s="378"/>
      <c r="F263" s="378"/>
      <c r="G263" s="378"/>
      <c r="H263" s="378"/>
      <c r="I263" s="378"/>
      <c r="J263" s="378"/>
    </row>
    <row r="264" spans="2:10" x14ac:dyDescent="0.15">
      <c r="B264" s="378"/>
      <c r="C264" s="378"/>
      <c r="D264" s="378"/>
      <c r="E264" s="378"/>
      <c r="F264" s="378"/>
      <c r="G264" s="378"/>
      <c r="H264" s="378"/>
      <c r="I264" s="378"/>
      <c r="J264" s="378"/>
    </row>
    <row r="265" spans="2:10" x14ac:dyDescent="0.15">
      <c r="B265" s="377" t="s">
        <v>174</v>
      </c>
      <c r="C265" s="378">
        <f>SUM(C262:C264)</f>
        <v>0</v>
      </c>
      <c r="D265" s="441" t="s">
        <v>151</v>
      </c>
      <c r="E265" s="441"/>
      <c r="F265" s="378"/>
      <c r="G265" s="378"/>
      <c r="H265" s="378"/>
      <c r="I265" s="378"/>
      <c r="J265" s="378">
        <f>SUM(J262:J264)</f>
        <v>0</v>
      </c>
    </row>
    <row r="266" spans="2:10" x14ac:dyDescent="0.15">
      <c r="B266" s="377" t="s">
        <v>215</v>
      </c>
      <c r="C266" s="513" t="s">
        <v>720</v>
      </c>
      <c r="D266" s="513"/>
      <c r="E266" s="513"/>
      <c r="F266" s="513"/>
      <c r="G266" s="513"/>
      <c r="H266" s="513"/>
      <c r="I266" s="513"/>
      <c r="J266" s="513"/>
    </row>
    <row r="267" spans="2:10" x14ac:dyDescent="0.15">
      <c r="B267" s="521" t="s">
        <v>304</v>
      </c>
      <c r="C267" s="464"/>
      <c r="D267" s="464"/>
      <c r="E267" s="464"/>
      <c r="F267" s="464"/>
      <c r="G267" s="464"/>
      <c r="H267" s="464"/>
      <c r="I267" s="464"/>
      <c r="J267" s="522"/>
    </row>
    <row r="268" spans="2:10" x14ac:dyDescent="0.15">
      <c r="B268" s="516" t="s">
        <v>185</v>
      </c>
      <c r="C268" s="512" t="s">
        <v>182</v>
      </c>
      <c r="D268" s="512" t="s">
        <v>183</v>
      </c>
      <c r="E268" s="512" t="s">
        <v>184</v>
      </c>
      <c r="F268" s="512" t="s">
        <v>146</v>
      </c>
      <c r="G268" s="512"/>
      <c r="H268" s="512"/>
      <c r="I268" s="512"/>
      <c r="J268" s="566"/>
    </row>
    <row r="269" spans="2:10" x14ac:dyDescent="0.15">
      <c r="B269" s="516"/>
      <c r="C269" s="512"/>
      <c r="D269" s="512"/>
      <c r="E269" s="512"/>
      <c r="F269" s="390">
        <v>2009</v>
      </c>
      <c r="G269" s="390">
        <v>2010</v>
      </c>
      <c r="H269" s="390">
        <v>2011</v>
      </c>
      <c r="I269" s="390">
        <v>2012</v>
      </c>
      <c r="J269" s="392">
        <v>2013</v>
      </c>
    </row>
    <row r="270" spans="2:10" x14ac:dyDescent="0.15">
      <c r="B270" s="396"/>
      <c r="C270" s="378"/>
      <c r="D270" s="378">
        <v>5000</v>
      </c>
      <c r="E270" s="378"/>
      <c r="F270" s="378"/>
      <c r="G270" s="378"/>
      <c r="H270" s="378"/>
      <c r="I270" s="378"/>
      <c r="J270" s="384"/>
    </row>
    <row r="271" spans="2:10" x14ac:dyDescent="0.15">
      <c r="B271" s="396"/>
      <c r="C271" s="378"/>
      <c r="D271" s="378"/>
      <c r="E271" s="378"/>
      <c r="F271" s="378"/>
      <c r="G271" s="378"/>
      <c r="H271" s="378"/>
      <c r="I271" s="378"/>
      <c r="J271" s="384"/>
    </row>
    <row r="272" spans="2:10" x14ac:dyDescent="0.15">
      <c r="B272" s="395"/>
      <c r="C272" s="378"/>
      <c r="D272" s="378"/>
      <c r="E272" s="378"/>
      <c r="F272" s="378"/>
      <c r="G272" s="378"/>
      <c r="H272" s="378"/>
      <c r="I272" s="378"/>
      <c r="J272" s="384"/>
    </row>
    <row r="273" spans="2:10" x14ac:dyDescent="0.15">
      <c r="B273" s="374" t="s">
        <v>174</v>
      </c>
      <c r="C273" s="378">
        <f>SUM(C270:C272)</f>
        <v>0</v>
      </c>
      <c r="D273" s="441" t="s">
        <v>151</v>
      </c>
      <c r="E273" s="441"/>
      <c r="F273" s="378">
        <f>SUM(F270:F272)</f>
        <v>0</v>
      </c>
      <c r="G273" s="378">
        <f>SUM(G270:G272)</f>
        <v>0</v>
      </c>
      <c r="H273" s="378">
        <f>SUM(H270:H272)</f>
        <v>0</v>
      </c>
      <c r="I273" s="378">
        <f>SUM(I270:I272)</f>
        <v>0</v>
      </c>
      <c r="J273" s="384">
        <f>SUM(J270:J272)</f>
        <v>0</v>
      </c>
    </row>
    <row r="274" spans="2:10" ht="43.5" customHeight="1" thickBot="1" x14ac:dyDescent="0.2">
      <c r="B274" s="400" t="s">
        <v>215</v>
      </c>
      <c r="C274" s="569" t="s">
        <v>719</v>
      </c>
      <c r="D274" s="569"/>
      <c r="E274" s="569"/>
      <c r="F274" s="569"/>
      <c r="G274" s="569"/>
      <c r="H274" s="569"/>
      <c r="I274" s="569"/>
      <c r="J274" s="570"/>
    </row>
    <row r="275" spans="2:10" x14ac:dyDescent="0.15">
      <c r="B275" s="521" t="s">
        <v>305</v>
      </c>
      <c r="C275" s="464"/>
      <c r="D275" s="464"/>
      <c r="E275" s="464"/>
      <c r="F275" s="464"/>
      <c r="G275" s="464"/>
      <c r="H275" s="464"/>
      <c r="I275" s="464"/>
      <c r="J275" s="522"/>
    </row>
    <row r="276" spans="2:10" ht="24" x14ac:dyDescent="0.15">
      <c r="B276" s="397" t="s">
        <v>306</v>
      </c>
      <c r="C276" s="513" t="s">
        <v>387</v>
      </c>
      <c r="D276" s="513"/>
      <c r="E276" s="513"/>
      <c r="F276" s="513"/>
      <c r="G276" s="513"/>
      <c r="H276" s="513"/>
      <c r="I276" s="513"/>
      <c r="J276" s="514"/>
    </row>
    <row r="277" spans="2:10" x14ac:dyDescent="0.15">
      <c r="B277" s="398" t="s">
        <v>307</v>
      </c>
      <c r="C277" s="513" t="s">
        <v>55</v>
      </c>
      <c r="D277" s="513"/>
      <c r="E277" s="377" t="s">
        <v>154</v>
      </c>
      <c r="F277" s="378"/>
      <c r="G277" s="377" t="s">
        <v>152</v>
      </c>
      <c r="H277" s="378"/>
      <c r="I277" s="377" t="s">
        <v>153</v>
      </c>
      <c r="J277" s="399"/>
    </row>
    <row r="278" spans="2:10" x14ac:dyDescent="0.15">
      <c r="B278" s="398" t="s">
        <v>308</v>
      </c>
      <c r="C278" s="513"/>
      <c r="D278" s="513"/>
      <c r="E278" s="513"/>
      <c r="F278" s="513"/>
      <c r="G278" s="513"/>
      <c r="H278" s="513"/>
      <c r="I278" s="513"/>
      <c r="J278" s="514"/>
    </row>
    <row r="279" spans="2:10" x14ac:dyDescent="0.15">
      <c r="B279" s="567" t="s">
        <v>309</v>
      </c>
      <c r="C279" s="517"/>
      <c r="D279" s="517"/>
      <c r="E279" s="517"/>
      <c r="F279" s="517"/>
      <c r="G279" s="517"/>
      <c r="H279" s="517"/>
      <c r="I279" s="517"/>
      <c r="J279" s="518"/>
    </row>
    <row r="280" spans="2:10" x14ac:dyDescent="0.15">
      <c r="B280" s="568"/>
      <c r="C280" s="517"/>
      <c r="D280" s="517"/>
      <c r="E280" s="517"/>
      <c r="F280" s="517"/>
      <c r="G280" s="517"/>
      <c r="H280" s="517"/>
      <c r="I280" s="517"/>
      <c r="J280" s="518"/>
    </row>
    <row r="281" spans="2:10" ht="24" x14ac:dyDescent="0.15">
      <c r="B281" s="375" t="s">
        <v>214</v>
      </c>
      <c r="C281" s="513"/>
      <c r="D281" s="513"/>
      <c r="E281" s="513"/>
      <c r="F281" s="513"/>
      <c r="G281" s="513"/>
      <c r="H281" s="513"/>
      <c r="I281" s="513"/>
      <c r="J281" s="514"/>
    </row>
    <row r="282" spans="2:10" x14ac:dyDescent="0.15">
      <c r="B282" s="515" t="s">
        <v>310</v>
      </c>
      <c r="C282" s="600"/>
      <c r="D282" s="600"/>
      <c r="E282" s="600"/>
      <c r="F282" s="600"/>
      <c r="G282" s="600"/>
      <c r="H282" s="600"/>
      <c r="I282" s="600"/>
      <c r="J282" s="601"/>
    </row>
    <row r="283" spans="2:10" ht="24" customHeight="1" thickBot="1" x14ac:dyDescent="0.2">
      <c r="B283" s="571"/>
      <c r="C283" s="602"/>
      <c r="D283" s="602"/>
      <c r="E283" s="602"/>
      <c r="F283" s="602"/>
      <c r="G283" s="602"/>
      <c r="H283" s="602"/>
      <c r="I283" s="602"/>
      <c r="J283" s="603"/>
    </row>
    <row r="284" spans="2:10" x14ac:dyDescent="0.15">
      <c r="B284" s="563" t="s">
        <v>311</v>
      </c>
      <c r="C284" s="564"/>
      <c r="D284" s="564"/>
      <c r="E284" s="564"/>
      <c r="F284" s="564"/>
      <c r="G284" s="564"/>
      <c r="H284" s="564"/>
      <c r="I284" s="564"/>
      <c r="J284" s="565"/>
    </row>
    <row r="285" spans="2:10" x14ac:dyDescent="0.15">
      <c r="B285" s="269" t="s">
        <v>312</v>
      </c>
      <c r="C285" s="593" t="s">
        <v>56</v>
      </c>
      <c r="D285" s="594"/>
      <c r="E285" s="594"/>
      <c r="F285" s="599"/>
      <c r="G285" s="268" t="s">
        <v>240</v>
      </c>
      <c r="H285" s="265">
        <v>3000</v>
      </c>
      <c r="I285" s="268" t="s">
        <v>239</v>
      </c>
      <c r="J285" s="265">
        <v>3000</v>
      </c>
    </row>
    <row r="286" spans="2:10" x14ac:dyDescent="0.15">
      <c r="B286" s="269" t="s">
        <v>238</v>
      </c>
      <c r="C286" s="593" t="s">
        <v>57</v>
      </c>
      <c r="D286" s="594"/>
      <c r="E286" s="594"/>
      <c r="F286" s="594"/>
      <c r="G286" s="594"/>
      <c r="H286" s="594"/>
      <c r="I286" s="594"/>
      <c r="J286" s="599"/>
    </row>
    <row r="287" spans="2:10" x14ac:dyDescent="0.15">
      <c r="B287" s="604" t="s">
        <v>237</v>
      </c>
      <c r="C287" s="605"/>
      <c r="D287" s="605"/>
      <c r="E287" s="605"/>
      <c r="F287" s="605"/>
      <c r="G287" s="605"/>
      <c r="H287" s="605"/>
      <c r="I287" s="605"/>
      <c r="J287" s="606"/>
    </row>
    <row r="288" spans="2:10" x14ac:dyDescent="0.15">
      <c r="B288" s="274" t="s">
        <v>227</v>
      </c>
      <c r="C288" s="268" t="s">
        <v>313</v>
      </c>
      <c r="D288" s="268" t="s">
        <v>228</v>
      </c>
      <c r="E288" s="268" t="s">
        <v>229</v>
      </c>
      <c r="F288" s="268" t="s">
        <v>230</v>
      </c>
      <c r="G288" s="268" t="s">
        <v>184</v>
      </c>
      <c r="H288" s="268" t="s">
        <v>144</v>
      </c>
      <c r="I288" s="268" t="s">
        <v>231</v>
      </c>
      <c r="J288" s="150" t="s">
        <v>232</v>
      </c>
    </row>
    <row r="289" spans="2:10" x14ac:dyDescent="0.15">
      <c r="B289" s="580" t="s">
        <v>233</v>
      </c>
      <c r="C289" s="265"/>
      <c r="D289" s="265"/>
      <c r="E289" s="265"/>
      <c r="F289" s="265"/>
      <c r="G289" s="265"/>
      <c r="H289" s="265"/>
      <c r="I289" s="265"/>
      <c r="J289" s="282"/>
    </row>
    <row r="290" spans="2:10" x14ac:dyDescent="0.15">
      <c r="B290" s="581"/>
      <c r="C290" s="265"/>
      <c r="D290" s="265"/>
      <c r="E290" s="265"/>
      <c r="F290" s="265"/>
      <c r="G290" s="265"/>
      <c r="H290" s="265"/>
      <c r="I290" s="265"/>
      <c r="J290" s="282"/>
    </row>
    <row r="291" spans="2:10" x14ac:dyDescent="0.15">
      <c r="B291" s="580" t="s">
        <v>234</v>
      </c>
      <c r="C291" s="265"/>
      <c r="D291" s="265"/>
      <c r="E291" s="265"/>
      <c r="F291" s="265"/>
      <c r="G291" s="265"/>
      <c r="H291" s="265"/>
      <c r="I291" s="265"/>
      <c r="J291" s="282"/>
    </row>
    <row r="292" spans="2:10" x14ac:dyDescent="0.15">
      <c r="B292" s="581"/>
      <c r="C292" s="265"/>
      <c r="D292" s="265"/>
      <c r="E292" s="265"/>
      <c r="F292" s="265"/>
      <c r="G292" s="265"/>
      <c r="H292" s="265"/>
      <c r="I292" s="265"/>
      <c r="J292" s="282"/>
    </row>
    <row r="293" spans="2:10" x14ac:dyDescent="0.15">
      <c r="B293" s="584" t="s">
        <v>314</v>
      </c>
      <c r="C293" s="585"/>
      <c r="D293" s="585"/>
      <c r="E293" s="585"/>
      <c r="F293" s="585"/>
      <c r="G293" s="585"/>
      <c r="H293" s="585"/>
      <c r="I293" s="585"/>
      <c r="J293" s="586"/>
    </row>
    <row r="294" spans="2:10" x14ac:dyDescent="0.15">
      <c r="B294" s="587" t="s">
        <v>55</v>
      </c>
      <c r="C294" s="588"/>
      <c r="D294" s="588"/>
      <c r="E294" s="588"/>
      <c r="F294" s="588"/>
      <c r="G294" s="588"/>
      <c r="H294" s="588"/>
      <c r="I294" s="588"/>
      <c r="J294" s="589"/>
    </row>
    <row r="295" spans="2:10" ht="12.75" thickBot="1" x14ac:dyDescent="0.2">
      <c r="B295" s="590"/>
      <c r="C295" s="591"/>
      <c r="D295" s="591"/>
      <c r="E295" s="591"/>
      <c r="F295" s="591"/>
      <c r="G295" s="591"/>
      <c r="H295" s="591"/>
      <c r="I295" s="591"/>
      <c r="J295" s="592"/>
    </row>
    <row r="296" spans="2:10" ht="12.75" thickTop="1" x14ac:dyDescent="0.15">
      <c r="B296" s="596" t="s">
        <v>315</v>
      </c>
      <c r="C296" s="597"/>
      <c r="D296" s="597"/>
      <c r="E296" s="597"/>
      <c r="F296" s="597"/>
      <c r="G296" s="597"/>
      <c r="H296" s="597"/>
      <c r="I296" s="597"/>
      <c r="J296" s="598"/>
    </row>
    <row r="297" spans="2:10" ht="24" x14ac:dyDescent="0.15">
      <c r="B297" s="493" t="s">
        <v>94</v>
      </c>
      <c r="C297" s="130" t="s">
        <v>316</v>
      </c>
      <c r="D297" s="495" t="s">
        <v>58</v>
      </c>
      <c r="E297" s="496"/>
      <c r="F297" s="496"/>
      <c r="G297" s="496"/>
      <c r="H297" s="496"/>
      <c r="I297" s="496"/>
      <c r="J297" s="497"/>
    </row>
    <row r="298" spans="2:10" ht="34.5" customHeight="1" x14ac:dyDescent="0.15">
      <c r="B298" s="494"/>
      <c r="C298" s="151" t="s">
        <v>106</v>
      </c>
      <c r="D298" s="498" t="s">
        <v>711</v>
      </c>
      <c r="E298" s="499"/>
      <c r="F298" s="499"/>
      <c r="G298" s="499"/>
      <c r="H298" s="499"/>
      <c r="I298" s="499"/>
      <c r="J298" s="500"/>
    </row>
    <row r="299" spans="2:10" ht="32.25" customHeight="1" x14ac:dyDescent="0.15">
      <c r="B299" s="494"/>
      <c r="C299" s="582" t="s">
        <v>107</v>
      </c>
      <c r="D299" s="152" t="s">
        <v>317</v>
      </c>
      <c r="E299" s="498" t="s">
        <v>712</v>
      </c>
      <c r="F299" s="499"/>
      <c r="G299" s="499"/>
      <c r="H299" s="499"/>
      <c r="I299" s="499"/>
      <c r="J299" s="500"/>
    </row>
    <row r="300" spans="2:10" x14ac:dyDescent="0.15">
      <c r="B300" s="494"/>
      <c r="C300" s="583"/>
      <c r="D300" s="152" t="s">
        <v>318</v>
      </c>
      <c r="E300" s="593"/>
      <c r="F300" s="594"/>
      <c r="G300" s="594"/>
      <c r="H300" s="594"/>
      <c r="I300" s="594"/>
      <c r="J300" s="595"/>
    </row>
    <row r="301" spans="2:10" x14ac:dyDescent="0.15">
      <c r="B301" s="494"/>
      <c r="C301" s="284" t="s">
        <v>108</v>
      </c>
      <c r="D301" s="593" t="s">
        <v>59</v>
      </c>
      <c r="E301" s="594"/>
      <c r="F301" s="594"/>
      <c r="G301" s="594"/>
      <c r="H301" s="594"/>
      <c r="I301" s="594"/>
      <c r="J301" s="595"/>
    </row>
    <row r="302" spans="2:10" ht="36" customHeight="1" x14ac:dyDescent="0.15">
      <c r="B302" s="494"/>
      <c r="C302" s="151" t="s">
        <v>319</v>
      </c>
      <c r="D302" s="498" t="s">
        <v>713</v>
      </c>
      <c r="E302" s="499"/>
      <c r="F302" s="499"/>
      <c r="G302" s="499"/>
      <c r="H302" s="499"/>
      <c r="I302" s="499"/>
      <c r="J302" s="500"/>
    </row>
    <row r="303" spans="2:10" ht="48" customHeight="1" x14ac:dyDescent="0.15">
      <c r="B303" s="494"/>
      <c r="C303" s="151" t="s">
        <v>263</v>
      </c>
      <c r="D303" s="498" t="s">
        <v>714</v>
      </c>
      <c r="E303" s="499"/>
      <c r="F303" s="499"/>
      <c r="G303" s="499"/>
      <c r="H303" s="499"/>
      <c r="I303" s="499"/>
      <c r="J303" s="500"/>
    </row>
    <row r="304" spans="2:10" ht="36" customHeight="1" x14ac:dyDescent="0.15">
      <c r="B304" s="494"/>
      <c r="C304" s="151" t="s">
        <v>320</v>
      </c>
      <c r="D304" s="498" t="s">
        <v>624</v>
      </c>
      <c r="E304" s="499"/>
      <c r="F304" s="499"/>
      <c r="G304" s="499"/>
      <c r="H304" s="499"/>
      <c r="I304" s="499"/>
      <c r="J304" s="500"/>
    </row>
    <row r="305" spans="2:10" x14ac:dyDescent="0.15">
      <c r="B305" s="494"/>
      <c r="C305" s="153" t="s">
        <v>321</v>
      </c>
      <c r="D305" s="498" t="s">
        <v>60</v>
      </c>
      <c r="E305" s="499"/>
      <c r="F305" s="499"/>
      <c r="G305" s="499"/>
      <c r="H305" s="499"/>
      <c r="I305" s="499"/>
      <c r="J305" s="500"/>
    </row>
    <row r="306" spans="2:10" x14ac:dyDescent="0.15">
      <c r="B306" s="494"/>
      <c r="C306" s="285" t="s">
        <v>322</v>
      </c>
      <c r="D306" s="498" t="s">
        <v>715</v>
      </c>
      <c r="E306" s="499"/>
      <c r="F306" s="499"/>
      <c r="G306" s="499"/>
      <c r="H306" s="499"/>
      <c r="I306" s="499"/>
      <c r="J306" s="500"/>
    </row>
    <row r="307" spans="2:10" x14ac:dyDescent="0.15">
      <c r="B307" s="494"/>
      <c r="C307" s="285" t="s">
        <v>323</v>
      </c>
      <c r="D307" s="498" t="s">
        <v>395</v>
      </c>
      <c r="E307" s="499"/>
      <c r="F307" s="499"/>
      <c r="G307" s="499"/>
      <c r="H307" s="499"/>
      <c r="I307" s="499"/>
      <c r="J307" s="500"/>
    </row>
    <row r="308" spans="2:10" ht="44.25" customHeight="1" x14ac:dyDescent="0.15">
      <c r="B308" s="494"/>
      <c r="C308" s="154" t="s">
        <v>600</v>
      </c>
      <c r="D308" s="498" t="s">
        <v>710</v>
      </c>
      <c r="E308" s="499"/>
      <c r="F308" s="499"/>
      <c r="G308" s="499"/>
      <c r="H308" s="499"/>
      <c r="I308" s="499"/>
      <c r="J308" s="500"/>
    </row>
    <row r="309" spans="2:10" ht="21" customHeight="1" x14ac:dyDescent="0.15">
      <c r="B309" s="494"/>
      <c r="C309" s="136" t="s">
        <v>64</v>
      </c>
      <c r="D309" s="498" t="s">
        <v>61</v>
      </c>
      <c r="E309" s="499"/>
      <c r="F309" s="499"/>
      <c r="G309" s="499"/>
      <c r="H309" s="499"/>
      <c r="I309" s="499"/>
      <c r="J309" s="500"/>
    </row>
    <row r="310" spans="2:10" ht="45.75" customHeight="1" x14ac:dyDescent="0.15">
      <c r="B310" s="494"/>
      <c r="C310" s="136" t="s">
        <v>586</v>
      </c>
      <c r="D310" s="498" t="s">
        <v>716</v>
      </c>
      <c r="E310" s="499"/>
      <c r="F310" s="499"/>
      <c r="G310" s="499"/>
      <c r="H310" s="499"/>
      <c r="I310" s="499"/>
      <c r="J310" s="500"/>
    </row>
    <row r="311" spans="2:10" ht="30" customHeight="1" x14ac:dyDescent="0.15">
      <c r="B311" s="494"/>
      <c r="C311" s="136" t="s">
        <v>615</v>
      </c>
      <c r="D311" s="498" t="s">
        <v>717</v>
      </c>
      <c r="E311" s="499"/>
      <c r="F311" s="499"/>
      <c r="G311" s="499"/>
      <c r="H311" s="499"/>
      <c r="I311" s="499"/>
      <c r="J311" s="500"/>
    </row>
    <row r="312" spans="2:10" ht="38.25" customHeight="1" thickBot="1" x14ac:dyDescent="0.2">
      <c r="B312" s="494"/>
      <c r="C312" s="246" t="s">
        <v>95</v>
      </c>
      <c r="D312" s="509" t="s">
        <v>709</v>
      </c>
      <c r="E312" s="510"/>
      <c r="F312" s="510"/>
      <c r="G312" s="510"/>
      <c r="H312" s="510"/>
      <c r="I312" s="510"/>
      <c r="J312" s="511"/>
    </row>
    <row r="313" spans="2:10" x14ac:dyDescent="0.15">
      <c r="B313" s="504" t="s">
        <v>324</v>
      </c>
      <c r="C313" s="505"/>
      <c r="D313" s="505"/>
      <c r="E313" s="505"/>
      <c r="F313" s="505"/>
      <c r="G313" s="505"/>
      <c r="H313" s="505"/>
      <c r="I313" s="505"/>
      <c r="J313" s="506"/>
    </row>
    <row r="314" spans="2:10" x14ac:dyDescent="0.15">
      <c r="B314" s="507" t="s">
        <v>157</v>
      </c>
      <c r="C314" s="508"/>
      <c r="D314" s="273" t="s">
        <v>327</v>
      </c>
      <c r="E314" s="273" t="s">
        <v>388</v>
      </c>
      <c r="F314" s="273" t="s">
        <v>389</v>
      </c>
      <c r="G314" s="273" t="s">
        <v>390</v>
      </c>
      <c r="H314" s="273" t="s">
        <v>391</v>
      </c>
      <c r="I314" s="273" t="s">
        <v>392</v>
      </c>
      <c r="J314" s="247" t="s">
        <v>393</v>
      </c>
    </row>
    <row r="315" spans="2:10" x14ac:dyDescent="0.15">
      <c r="B315" s="501" t="s">
        <v>162</v>
      </c>
      <c r="C315" s="502"/>
      <c r="D315" s="248">
        <f>'行政－收支明细表'!B66</f>
        <v>0.30131643475430336</v>
      </c>
      <c r="E315" s="248">
        <f t="shared" ref="E315:J315" si="1">D315</f>
        <v>0.30131643475430336</v>
      </c>
      <c r="F315" s="248">
        <f t="shared" si="1"/>
        <v>0.30131643475430336</v>
      </c>
      <c r="G315" s="248">
        <f t="shared" si="1"/>
        <v>0.30131643475430336</v>
      </c>
      <c r="H315" s="248">
        <f t="shared" si="1"/>
        <v>0.30131643475430336</v>
      </c>
      <c r="I315" s="248">
        <f t="shared" si="1"/>
        <v>0.30131643475430336</v>
      </c>
      <c r="J315" s="249">
        <f t="shared" si="1"/>
        <v>0.30131643475430336</v>
      </c>
    </row>
    <row r="316" spans="2:10" x14ac:dyDescent="0.15">
      <c r="B316" s="491" t="s">
        <v>187</v>
      </c>
      <c r="C316" s="250" t="s">
        <v>106</v>
      </c>
      <c r="D316" s="251">
        <f>'行政－收支明细表'!F4</f>
        <v>9710.8856200000009</v>
      </c>
      <c r="E316" s="251">
        <f t="shared" ref="E316:J316" si="2">D316+500</f>
        <v>10210.885620000001</v>
      </c>
      <c r="F316" s="251">
        <f t="shared" si="2"/>
        <v>10710.885620000001</v>
      </c>
      <c r="G316" s="251">
        <f t="shared" si="2"/>
        <v>11210.885620000001</v>
      </c>
      <c r="H316" s="251">
        <f t="shared" si="2"/>
        <v>11710.885620000001</v>
      </c>
      <c r="I316" s="251">
        <f t="shared" si="2"/>
        <v>12210.885620000001</v>
      </c>
      <c r="J316" s="252">
        <f t="shared" si="2"/>
        <v>12710.885620000001</v>
      </c>
    </row>
    <row r="317" spans="2:10" x14ac:dyDescent="0.15">
      <c r="B317" s="491"/>
      <c r="C317" s="250" t="s">
        <v>325</v>
      </c>
      <c r="D317" s="251"/>
      <c r="E317" s="251"/>
      <c r="F317" s="251"/>
      <c r="G317" s="251"/>
      <c r="H317" s="251"/>
      <c r="I317" s="251"/>
      <c r="J317" s="252"/>
    </row>
    <row r="318" spans="2:10" x14ac:dyDescent="0.15">
      <c r="B318" s="491"/>
      <c r="C318" s="250" t="s">
        <v>326</v>
      </c>
      <c r="D318" s="251"/>
      <c r="E318" s="251"/>
      <c r="F318" s="251"/>
      <c r="G318" s="251"/>
      <c r="H318" s="251"/>
      <c r="I318" s="251"/>
      <c r="J318" s="252"/>
    </row>
    <row r="319" spans="2:10" x14ac:dyDescent="0.15">
      <c r="B319" s="491"/>
      <c r="C319" s="250" t="s">
        <v>188</v>
      </c>
      <c r="D319" s="251"/>
      <c r="E319" s="251"/>
      <c r="F319" s="251"/>
      <c r="G319" s="251"/>
      <c r="H319" s="251"/>
      <c r="I319" s="251"/>
      <c r="J319" s="252"/>
    </row>
    <row r="320" spans="2:10" x14ac:dyDescent="0.15">
      <c r="B320" s="491"/>
      <c r="C320" s="250" t="s">
        <v>107</v>
      </c>
      <c r="D320" s="251">
        <f>'行政－收支明细表'!F5</f>
        <v>12246.008909999999</v>
      </c>
      <c r="E320" s="251">
        <f>'行政－收支明细表'!F61+1800</f>
        <v>12246.008909999999</v>
      </c>
      <c r="F320" s="251">
        <f>10446.01+1800*3/4</f>
        <v>11796.01</v>
      </c>
      <c r="G320" s="251">
        <f>10446.01+1800*2/4</f>
        <v>11346.01</v>
      </c>
      <c r="H320" s="251">
        <f>10446.01+1800*1/4</f>
        <v>10896.01</v>
      </c>
      <c r="I320" s="251">
        <f>10446.01</f>
        <v>10446.01</v>
      </c>
      <c r="J320" s="252">
        <f>10446.01</f>
        <v>10446.01</v>
      </c>
    </row>
    <row r="321" spans="2:10" x14ac:dyDescent="0.15">
      <c r="B321" s="491"/>
      <c r="C321" s="250" t="s">
        <v>108</v>
      </c>
      <c r="D321" s="251">
        <f>'行政－收支明细表'!F8</f>
        <v>1133.8445730000001</v>
      </c>
      <c r="E321" s="251">
        <f>'行政－收支明细表'!D8</f>
        <v>419.40724</v>
      </c>
      <c r="F321" s="251">
        <f>E321</f>
        <v>419.40724</v>
      </c>
      <c r="G321" s="251">
        <f>F321</f>
        <v>419.40724</v>
      </c>
      <c r="H321" s="251">
        <f>G321</f>
        <v>419.40724</v>
      </c>
      <c r="I321" s="251">
        <f>H321</f>
        <v>419.40724</v>
      </c>
      <c r="J321" s="252">
        <f>I321</f>
        <v>419.40724</v>
      </c>
    </row>
    <row r="322" spans="2:10" x14ac:dyDescent="0.15">
      <c r="B322" s="491"/>
      <c r="C322" s="250" t="s">
        <v>158</v>
      </c>
      <c r="D322" s="251">
        <f t="shared" ref="D322:J322" si="3">SUM(D316,D320:D321)</f>
        <v>23090.739102999996</v>
      </c>
      <c r="E322" s="251">
        <f t="shared" si="3"/>
        <v>22876.301769999998</v>
      </c>
      <c r="F322" s="251">
        <f t="shared" si="3"/>
        <v>22926.302860000003</v>
      </c>
      <c r="G322" s="251">
        <f t="shared" si="3"/>
        <v>22976.302860000003</v>
      </c>
      <c r="H322" s="251">
        <f t="shared" si="3"/>
        <v>23026.302860000003</v>
      </c>
      <c r="I322" s="251">
        <f t="shared" si="3"/>
        <v>23076.302860000003</v>
      </c>
      <c r="J322" s="252">
        <f t="shared" si="3"/>
        <v>23576.302860000003</v>
      </c>
    </row>
    <row r="323" spans="2:10" x14ac:dyDescent="0.15">
      <c r="B323" s="491"/>
      <c r="C323" s="324" t="s">
        <v>159</v>
      </c>
      <c r="D323" s="251">
        <f t="shared" ref="D323:J323" si="4">D322*D315</f>
        <v>6957.6191823577401</v>
      </c>
      <c r="E323" s="251">
        <f t="shared" si="4"/>
        <v>6893.0056896999586</v>
      </c>
      <c r="F323" s="251">
        <f t="shared" si="4"/>
        <v>6908.0718398725894</v>
      </c>
      <c r="G323" s="251">
        <f t="shared" si="4"/>
        <v>6923.1376616103053</v>
      </c>
      <c r="H323" s="251">
        <f t="shared" si="4"/>
        <v>6938.2034833480202</v>
      </c>
      <c r="I323" s="251">
        <f t="shared" si="4"/>
        <v>6953.2693050857351</v>
      </c>
      <c r="J323" s="252">
        <f t="shared" si="4"/>
        <v>7103.9275224628864</v>
      </c>
    </row>
    <row r="324" spans="2:10" x14ac:dyDescent="0.15">
      <c r="B324" s="272" t="s">
        <v>167</v>
      </c>
      <c r="C324" s="250" t="s">
        <v>164</v>
      </c>
      <c r="D324" s="253"/>
      <c r="E324" s="254"/>
      <c r="F324" s="254"/>
      <c r="G324" s="254"/>
      <c r="H324" s="254"/>
      <c r="I324" s="255"/>
      <c r="J324" s="256"/>
    </row>
    <row r="325" spans="2:10" x14ac:dyDescent="0.15">
      <c r="B325" s="491" t="s">
        <v>168</v>
      </c>
      <c r="C325" s="250" t="s">
        <v>609</v>
      </c>
      <c r="D325" s="257"/>
      <c r="E325" s="254">
        <f>(C254+5000)-(10900+37172)</f>
        <v>14246</v>
      </c>
      <c r="F325" s="254"/>
      <c r="G325" s="254"/>
      <c r="H325" s="254"/>
      <c r="I325" s="255"/>
      <c r="J325" s="256"/>
    </row>
    <row r="326" spans="2:10" x14ac:dyDescent="0.15">
      <c r="B326" s="491"/>
      <c r="C326" s="250" t="s">
        <v>163</v>
      </c>
      <c r="D326" s="257"/>
      <c r="E326" s="258">
        <f>-租金测算!H8/10000</f>
        <v>4568.6000000000004</v>
      </c>
      <c r="F326" s="258"/>
      <c r="G326" s="258"/>
      <c r="H326" s="258"/>
      <c r="I326" s="259"/>
      <c r="J326" s="260"/>
    </row>
    <row r="327" spans="2:10" x14ac:dyDescent="0.15">
      <c r="B327" s="491"/>
      <c r="C327" s="250" t="s">
        <v>189</v>
      </c>
      <c r="D327" s="257"/>
      <c r="E327" s="258"/>
      <c r="F327" s="258"/>
      <c r="G327" s="258"/>
      <c r="H327" s="258"/>
      <c r="I327" s="259"/>
      <c r="J327" s="260"/>
    </row>
    <row r="328" spans="2:10" x14ac:dyDescent="0.15">
      <c r="B328" s="491" t="s">
        <v>169</v>
      </c>
      <c r="C328" s="250" t="s">
        <v>66</v>
      </c>
      <c r="D328" s="257"/>
      <c r="E328" s="258">
        <f>D168</f>
        <v>4860.3559999999998</v>
      </c>
      <c r="F328" s="258">
        <f>E168</f>
        <v>4576.1559999999999</v>
      </c>
      <c r="G328" s="258">
        <f>F168</f>
        <v>1611.3290000000002</v>
      </c>
      <c r="H328" s="258">
        <f>G168</f>
        <v>1106.729</v>
      </c>
      <c r="I328" s="258"/>
      <c r="J328" s="260"/>
    </row>
    <row r="329" spans="2:10" ht="24" x14ac:dyDescent="0.15">
      <c r="B329" s="491"/>
      <c r="C329" s="250" t="s">
        <v>67</v>
      </c>
      <c r="D329" s="253"/>
      <c r="E329" s="258">
        <v>1000</v>
      </c>
      <c r="F329" s="258">
        <v>1000</v>
      </c>
      <c r="G329" s="258">
        <v>1000</v>
      </c>
      <c r="H329" s="258"/>
      <c r="I329" s="259"/>
      <c r="J329" s="260"/>
    </row>
    <row r="330" spans="2:10" x14ac:dyDescent="0.15">
      <c r="B330" s="491" t="s">
        <v>170</v>
      </c>
      <c r="C330" s="250" t="s">
        <v>68</v>
      </c>
      <c r="D330" s="253"/>
      <c r="E330" s="258">
        <f>L254</f>
        <v>3695.0970000000002</v>
      </c>
      <c r="F330" s="258">
        <f>E330-E331*$L$255</f>
        <v>3630.6303926515234</v>
      </c>
      <c r="G330" s="258">
        <f>F330-F331*$L$255</f>
        <v>3566.1637853030466</v>
      </c>
      <c r="H330" s="258">
        <f>G330-G331*$L$255</f>
        <v>3501.6971779545697</v>
      </c>
      <c r="I330" s="258">
        <f>H330-H331*$L$255</f>
        <v>3437.2305706060929</v>
      </c>
      <c r="J330" s="260">
        <f>I330-I331*$L$255</f>
        <v>3372.7639632576161</v>
      </c>
    </row>
    <row r="331" spans="2:10" x14ac:dyDescent="0.15">
      <c r="B331" s="491"/>
      <c r="C331" s="250" t="s">
        <v>426</v>
      </c>
      <c r="D331" s="253"/>
      <c r="E331" s="258">
        <v>1000</v>
      </c>
      <c r="F331" s="258">
        <v>1000</v>
      </c>
      <c r="G331" s="258">
        <v>1000</v>
      </c>
      <c r="H331" s="258">
        <v>1000</v>
      </c>
      <c r="I331" s="258">
        <v>1000</v>
      </c>
      <c r="J331" s="260">
        <v>1000</v>
      </c>
    </row>
    <row r="332" spans="2:10" x14ac:dyDescent="0.15">
      <c r="B332" s="491"/>
      <c r="C332" s="250" t="s">
        <v>69</v>
      </c>
      <c r="D332" s="253"/>
      <c r="E332" s="258"/>
      <c r="F332" s="258"/>
      <c r="G332" s="258"/>
      <c r="H332" s="258"/>
      <c r="I332" s="259"/>
      <c r="J332" s="260"/>
    </row>
    <row r="333" spans="2:10" ht="24" x14ac:dyDescent="0.15">
      <c r="B333" s="491"/>
      <c r="C333" s="250" t="s">
        <v>621</v>
      </c>
      <c r="D333" s="253"/>
      <c r="E333" s="258">
        <f>7000+8400*0%</f>
        <v>7000</v>
      </c>
      <c r="F333" s="258"/>
      <c r="G333" s="258"/>
      <c r="H333" s="258"/>
      <c r="I333" s="259"/>
      <c r="J333" s="260"/>
    </row>
    <row r="334" spans="2:10" ht="24" x14ac:dyDescent="0.15">
      <c r="B334" s="491"/>
      <c r="C334" s="261" t="s">
        <v>623</v>
      </c>
      <c r="D334" s="253"/>
      <c r="E334" s="258">
        <v>3000</v>
      </c>
      <c r="F334" s="258">
        <v>0</v>
      </c>
      <c r="G334" s="258"/>
      <c r="H334" s="258"/>
      <c r="I334" s="259"/>
      <c r="J334" s="260"/>
    </row>
    <row r="335" spans="2:10" ht="24" x14ac:dyDescent="0.15">
      <c r="B335" s="491"/>
      <c r="C335" s="250" t="s">
        <v>708</v>
      </c>
      <c r="D335" s="253"/>
      <c r="E335" s="258">
        <f>(一期租金测算!H11+一期租金测算!H12)/10000</f>
        <v>642.70000000000005</v>
      </c>
      <c r="F335" s="258">
        <f>(一期租金测算!H13+一期租金测算!H14)/10000</f>
        <v>691.9</v>
      </c>
      <c r="G335" s="258">
        <f>(一期租金测算!H15+一期租金测算!H16)/10000</f>
        <v>728.2</v>
      </c>
      <c r="H335" s="258">
        <f>(一期租金测算!H17+一期租金测算!H18)/10000</f>
        <v>734.34</v>
      </c>
      <c r="I335" s="258">
        <f>(一期租金测算!H19+一期租金测算!H20)/10000</f>
        <v>42.2</v>
      </c>
      <c r="J335" s="260"/>
    </row>
    <row r="336" spans="2:10" x14ac:dyDescent="0.15">
      <c r="B336" s="491" t="s">
        <v>165</v>
      </c>
      <c r="C336" s="492"/>
      <c r="D336" s="253"/>
      <c r="E336" s="258">
        <f t="shared" ref="E336:J336" si="5">E323+E324+E325+E326+E327-E328-E329-E330-E331-E332-E333-E334-E335</f>
        <v>4509.4526896999587</v>
      </c>
      <c r="F336" s="258">
        <f t="shared" si="5"/>
        <v>-3990.614552778934</v>
      </c>
      <c r="G336" s="258">
        <f t="shared" si="5"/>
        <v>-982.55512369274197</v>
      </c>
      <c r="H336" s="258">
        <f t="shared" si="5"/>
        <v>595.43730539345017</v>
      </c>
      <c r="I336" s="258">
        <f t="shared" si="5"/>
        <v>2473.8387344796424</v>
      </c>
      <c r="J336" s="260">
        <f t="shared" si="5"/>
        <v>2731.1635592052703</v>
      </c>
    </row>
    <row r="337" spans="2:10" x14ac:dyDescent="0.15">
      <c r="B337" s="491" t="s">
        <v>62</v>
      </c>
      <c r="C337" s="492"/>
      <c r="D337" s="253"/>
      <c r="E337" s="258">
        <v>0</v>
      </c>
      <c r="F337" s="258">
        <f>(租金测算!H9+租金测算!H10)/10000</f>
        <v>1442.3420000000001</v>
      </c>
      <c r="G337" s="258">
        <f>(租金测算!H11+租金测算!H12)/10000</f>
        <v>1377.5229999999999</v>
      </c>
      <c r="H337" s="258">
        <f>(租金测算!H13+租金测算!H14)/10000</f>
        <v>1412.874</v>
      </c>
      <c r="I337" s="259">
        <f>(租金测算!H15+租金测算!H16)/10000</f>
        <v>1493.01</v>
      </c>
      <c r="J337" s="260">
        <f>(租金测算!H17+租金测算!H18)/10000</f>
        <v>195.14599999999999</v>
      </c>
    </row>
    <row r="338" spans="2:10" x14ac:dyDescent="0.15">
      <c r="B338" s="491" t="s">
        <v>166</v>
      </c>
      <c r="C338" s="492"/>
      <c r="D338" s="253"/>
      <c r="E338" s="258">
        <f t="shared" ref="E338:J338" si="6">E336-E337</f>
        <v>4509.4526896999587</v>
      </c>
      <c r="F338" s="258">
        <f t="shared" si="6"/>
        <v>-5432.9565527789346</v>
      </c>
      <c r="G338" s="258">
        <f t="shared" si="6"/>
        <v>-2360.0781236927419</v>
      </c>
      <c r="H338" s="258">
        <f t="shared" si="6"/>
        <v>-817.43669460654985</v>
      </c>
      <c r="I338" s="258">
        <f t="shared" si="6"/>
        <v>980.82873447964243</v>
      </c>
      <c r="J338" s="260">
        <f t="shared" si="6"/>
        <v>2536.0175592052701</v>
      </c>
    </row>
    <row r="339" spans="2:10" x14ac:dyDescent="0.15">
      <c r="B339" s="491" t="s">
        <v>160</v>
      </c>
      <c r="C339" s="492"/>
      <c r="D339" s="253"/>
      <c r="E339" s="258">
        <f t="shared" ref="E339:J339" si="7">D340</f>
        <v>3906.6534919999999</v>
      </c>
      <c r="F339" s="258">
        <f t="shared" si="7"/>
        <v>8416.1061816999591</v>
      </c>
      <c r="G339" s="258">
        <f t="shared" si="7"/>
        <v>2983.1496289210245</v>
      </c>
      <c r="H339" s="258">
        <f t="shared" si="7"/>
        <v>623.0715052282826</v>
      </c>
      <c r="I339" s="258">
        <f t="shared" si="7"/>
        <v>-194.36518937826725</v>
      </c>
      <c r="J339" s="260">
        <f t="shared" si="7"/>
        <v>786.46354510137519</v>
      </c>
    </row>
    <row r="340" spans="2:10" ht="12.75" thickBot="1" x14ac:dyDescent="0.2">
      <c r="B340" s="489" t="s">
        <v>161</v>
      </c>
      <c r="C340" s="490"/>
      <c r="D340" s="262">
        <f>('行政－资产负债表 '!F6+'基建－资金表'!F17)</f>
        <v>3906.6534919999999</v>
      </c>
      <c r="E340" s="263">
        <f t="shared" ref="E340:J340" si="8">SUM(E338:E339)</f>
        <v>8416.1061816999591</v>
      </c>
      <c r="F340" s="263">
        <f t="shared" si="8"/>
        <v>2983.1496289210245</v>
      </c>
      <c r="G340" s="263">
        <f t="shared" si="8"/>
        <v>623.0715052282826</v>
      </c>
      <c r="H340" s="263">
        <f t="shared" si="8"/>
        <v>-194.36518937826725</v>
      </c>
      <c r="I340" s="263">
        <f t="shared" si="8"/>
        <v>786.46354510137519</v>
      </c>
      <c r="J340" s="264">
        <f t="shared" si="8"/>
        <v>3322.4811043066452</v>
      </c>
    </row>
    <row r="341" spans="2:10" x14ac:dyDescent="0.15">
      <c r="B341" s="16"/>
      <c r="C341" s="16"/>
      <c r="D341" s="16"/>
      <c r="E341" s="16"/>
      <c r="F341" s="16"/>
      <c r="G341" s="16"/>
      <c r="H341" s="16"/>
      <c r="I341" s="16"/>
      <c r="J341" s="16"/>
    </row>
    <row r="342" spans="2:10" x14ac:dyDescent="0.15">
      <c r="B342" s="434" t="s">
        <v>718</v>
      </c>
      <c r="C342" s="434"/>
      <c r="D342" s="434"/>
      <c r="E342" s="434"/>
      <c r="F342" s="434"/>
      <c r="G342" s="434"/>
      <c r="H342" s="434"/>
      <c r="I342" s="434"/>
      <c r="J342" s="361"/>
    </row>
    <row r="343" spans="2:10" x14ac:dyDescent="0.15">
      <c r="B343" s="17"/>
      <c r="C343" s="361"/>
      <c r="D343" s="361"/>
      <c r="E343" s="361"/>
      <c r="F343" s="361"/>
      <c r="G343" s="361"/>
      <c r="H343" s="361"/>
      <c r="I343" s="361"/>
      <c r="J343" s="361"/>
    </row>
    <row r="344" spans="2:10" x14ac:dyDescent="0.15">
      <c r="B344" s="17"/>
      <c r="C344" s="361"/>
      <c r="D344" s="361"/>
      <c r="E344" s="361"/>
      <c r="F344" s="361"/>
      <c r="G344" s="361"/>
      <c r="H344" s="361"/>
      <c r="I344" s="361"/>
      <c r="J344" s="361"/>
    </row>
    <row r="345" spans="2:10" x14ac:dyDescent="0.15">
      <c r="B345" s="16"/>
      <c r="C345" s="16"/>
      <c r="D345" s="16"/>
      <c r="E345" s="16"/>
      <c r="F345" s="16"/>
      <c r="G345" s="16"/>
      <c r="H345" s="16"/>
      <c r="I345" s="16"/>
      <c r="J345" s="16"/>
    </row>
    <row r="346" spans="2:10" x14ac:dyDescent="0.15">
      <c r="B346" s="16"/>
      <c r="C346" s="16"/>
      <c r="D346" s="16"/>
      <c r="E346" s="16"/>
      <c r="F346" s="16"/>
      <c r="G346" s="16"/>
      <c r="H346" s="16"/>
      <c r="I346" s="16"/>
      <c r="J346" s="16"/>
    </row>
    <row r="347" spans="2:10" x14ac:dyDescent="0.15">
      <c r="B347" s="368"/>
      <c r="C347" s="368"/>
      <c r="D347" s="368"/>
      <c r="E347" s="368"/>
      <c r="F347" s="368"/>
      <c r="G347" s="368"/>
      <c r="H347" s="368"/>
      <c r="I347" s="368"/>
      <c r="J347" s="368"/>
    </row>
    <row r="348" spans="2:10" x14ac:dyDescent="0.15">
      <c r="B348" s="368"/>
      <c r="C348" s="368"/>
      <c r="D348" s="368"/>
      <c r="E348" s="368"/>
      <c r="F348" s="368"/>
      <c r="G348" s="368"/>
      <c r="H348" s="368"/>
      <c r="I348" s="368"/>
      <c r="J348" s="368"/>
    </row>
    <row r="349" spans="2:10" x14ac:dyDescent="0.15">
      <c r="B349" s="368"/>
      <c r="C349" s="368"/>
      <c r="D349" s="368"/>
      <c r="E349" s="368"/>
      <c r="F349" s="368"/>
      <c r="G349" s="368"/>
      <c r="H349" s="368"/>
      <c r="I349" s="368"/>
      <c r="J349" s="368"/>
    </row>
    <row r="350" spans="2:10" x14ac:dyDescent="0.15">
      <c r="B350" s="368"/>
      <c r="C350" s="368"/>
      <c r="D350" s="368"/>
      <c r="E350" s="368"/>
      <c r="F350" s="368"/>
      <c r="G350" s="368"/>
      <c r="H350" s="368"/>
      <c r="I350" s="368"/>
      <c r="J350" s="368"/>
    </row>
    <row r="351" spans="2:10" x14ac:dyDescent="0.15">
      <c r="B351" s="16"/>
      <c r="C351" s="16"/>
      <c r="D351" s="16"/>
      <c r="E351" s="16"/>
      <c r="F351" s="16"/>
      <c r="G351" s="16"/>
      <c r="H351" s="16"/>
      <c r="I351" s="16"/>
      <c r="J351" s="16"/>
    </row>
    <row r="352" spans="2:10" x14ac:dyDescent="0.15">
      <c r="B352" s="368"/>
      <c r="C352" s="368"/>
      <c r="D352" s="368"/>
      <c r="E352" s="368"/>
      <c r="F352" s="368"/>
      <c r="G352" s="368"/>
      <c r="H352" s="368"/>
      <c r="I352" s="368"/>
      <c r="J352" s="368"/>
    </row>
    <row r="353" spans="2:10" x14ac:dyDescent="0.15">
      <c r="B353" s="368"/>
      <c r="C353" s="368"/>
      <c r="D353" s="368"/>
      <c r="E353" s="368"/>
      <c r="F353" s="368"/>
      <c r="G353" s="368"/>
      <c r="H353" s="368"/>
      <c r="I353" s="368"/>
      <c r="J353" s="368"/>
    </row>
    <row r="354" spans="2:10" x14ac:dyDescent="0.15">
      <c r="B354" s="368"/>
      <c r="C354" s="368"/>
      <c r="D354" s="368"/>
      <c r="E354" s="368"/>
      <c r="F354" s="368"/>
      <c r="G354" s="368"/>
      <c r="H354" s="368"/>
      <c r="I354" s="368"/>
      <c r="J354" s="368"/>
    </row>
    <row r="471" spans="12:20" x14ac:dyDescent="0.15">
      <c r="L471" s="503"/>
      <c r="M471" s="488"/>
      <c r="N471" s="488"/>
      <c r="O471" s="488"/>
      <c r="P471" s="488"/>
      <c r="Q471" s="488"/>
      <c r="R471" s="488"/>
      <c r="S471" s="488"/>
      <c r="T471" s="488"/>
    </row>
    <row r="472" spans="12:20" x14ac:dyDescent="0.15">
      <c r="L472" s="503"/>
      <c r="M472" s="488"/>
      <c r="N472" s="488"/>
      <c r="O472" s="488"/>
      <c r="P472" s="488"/>
      <c r="Q472" s="488"/>
      <c r="R472" s="488"/>
      <c r="S472" s="488"/>
      <c r="T472" s="488"/>
    </row>
    <row r="473" spans="12:20" x14ac:dyDescent="0.15">
      <c r="L473" s="503"/>
      <c r="M473" s="488"/>
      <c r="N473" s="488"/>
      <c r="O473" s="488"/>
      <c r="P473" s="488"/>
      <c r="Q473" s="488"/>
      <c r="R473" s="488"/>
      <c r="S473" s="488"/>
      <c r="T473" s="488"/>
    </row>
    <row r="474" spans="12:20" x14ac:dyDescent="0.15">
      <c r="L474" s="503"/>
      <c r="M474" s="488"/>
      <c r="N474" s="488"/>
      <c r="O474" s="488"/>
      <c r="P474" s="488"/>
      <c r="Q474" s="488"/>
      <c r="R474" s="488"/>
      <c r="S474" s="488"/>
      <c r="T474" s="488"/>
    </row>
    <row r="475" spans="12:20" x14ac:dyDescent="0.15">
      <c r="L475" s="369"/>
      <c r="M475" s="488"/>
      <c r="N475" s="488"/>
      <c r="O475" s="488"/>
      <c r="P475" s="488"/>
      <c r="Q475" s="488"/>
      <c r="R475" s="488"/>
      <c r="S475" s="488"/>
      <c r="T475" s="488"/>
    </row>
    <row r="476" spans="12:20" x14ac:dyDescent="0.15">
      <c r="L476" s="369"/>
      <c r="M476" s="488"/>
      <c r="N476" s="488"/>
      <c r="O476" s="488"/>
      <c r="P476" s="488"/>
      <c r="Q476" s="488"/>
      <c r="R476" s="488"/>
      <c r="S476" s="488"/>
      <c r="T476" s="488"/>
    </row>
    <row r="477" spans="12:20" x14ac:dyDescent="0.15">
      <c r="L477" s="369"/>
      <c r="M477" s="488"/>
      <c r="N477" s="488"/>
      <c r="O477" s="488"/>
      <c r="P477" s="488"/>
      <c r="Q477" s="488"/>
      <c r="R477" s="488"/>
      <c r="S477" s="488"/>
      <c r="T477" s="488"/>
    </row>
    <row r="478" spans="12:20" x14ac:dyDescent="0.15">
      <c r="L478" s="369"/>
      <c r="M478" s="488"/>
      <c r="N478" s="488"/>
      <c r="O478" s="488"/>
      <c r="P478" s="488"/>
      <c r="Q478" s="488"/>
      <c r="R478" s="488"/>
      <c r="S478" s="488"/>
      <c r="T478" s="488"/>
    </row>
    <row r="479" spans="12:20" x14ac:dyDescent="0.15">
      <c r="L479" s="369"/>
      <c r="M479" s="488"/>
      <c r="N479" s="488"/>
      <c r="O479" s="488"/>
      <c r="P479" s="488"/>
      <c r="Q479" s="488"/>
      <c r="R479" s="488"/>
      <c r="S479" s="488"/>
      <c r="T479" s="488"/>
    </row>
    <row r="480" spans="12:20" x14ac:dyDescent="0.15">
      <c r="L480" s="369"/>
      <c r="M480" s="488"/>
      <c r="N480" s="488"/>
      <c r="O480" s="488"/>
      <c r="P480" s="488"/>
      <c r="Q480" s="488"/>
      <c r="R480" s="488"/>
      <c r="S480" s="488"/>
      <c r="T480" s="488"/>
    </row>
    <row r="481" spans="12:20" x14ac:dyDescent="0.15">
      <c r="L481" s="369"/>
      <c r="M481" s="488"/>
      <c r="N481" s="488"/>
      <c r="O481" s="488"/>
      <c r="P481" s="488"/>
      <c r="Q481" s="488"/>
      <c r="R481" s="488"/>
      <c r="S481" s="488"/>
      <c r="T481" s="488"/>
    </row>
    <row r="482" spans="12:20" x14ac:dyDescent="0.15">
      <c r="L482" s="369"/>
      <c r="M482" s="488"/>
      <c r="N482" s="488"/>
      <c r="O482" s="488"/>
      <c r="P482" s="488"/>
      <c r="Q482" s="488"/>
      <c r="R482" s="488"/>
      <c r="S482" s="488"/>
      <c r="T482" s="488"/>
    </row>
    <row r="483" spans="12:20" x14ac:dyDescent="0.15">
      <c r="L483" s="369"/>
      <c r="M483" s="488"/>
      <c r="N483" s="488"/>
      <c r="O483" s="488"/>
      <c r="P483" s="488"/>
      <c r="Q483" s="488"/>
      <c r="R483" s="488"/>
      <c r="S483" s="488"/>
      <c r="T483" s="488"/>
    </row>
    <row r="484" spans="12:20" x14ac:dyDescent="0.15">
      <c r="L484" s="369"/>
      <c r="M484" s="488"/>
      <c r="N484" s="488"/>
      <c r="O484" s="488"/>
      <c r="P484" s="488"/>
      <c r="Q484" s="488"/>
      <c r="R484" s="488"/>
      <c r="S484" s="488"/>
      <c r="T484" s="488"/>
    </row>
    <row r="485" spans="12:20" x14ac:dyDescent="0.15">
      <c r="L485" s="369"/>
      <c r="M485" s="488"/>
      <c r="N485" s="488"/>
      <c r="O485" s="488"/>
      <c r="P485" s="488"/>
      <c r="Q485" s="488"/>
      <c r="R485" s="488"/>
      <c r="S485" s="488"/>
      <c r="T485" s="488"/>
    </row>
    <row r="486" spans="12:20" x14ac:dyDescent="0.15">
      <c r="L486" s="369"/>
      <c r="M486" s="488"/>
      <c r="N486" s="488"/>
      <c r="O486" s="488"/>
      <c r="P486" s="488"/>
      <c r="Q486" s="488"/>
      <c r="R486" s="488"/>
      <c r="S486" s="488"/>
      <c r="T486" s="488"/>
    </row>
    <row r="487" spans="12:20" x14ac:dyDescent="0.15">
      <c r="L487" s="503"/>
      <c r="M487" s="488"/>
      <c r="N487" s="488"/>
      <c r="O487" s="488"/>
      <c r="P487" s="488"/>
      <c r="Q487" s="488"/>
      <c r="R487" s="488"/>
      <c r="S487" s="488"/>
      <c r="T487" s="488"/>
    </row>
    <row r="488" spans="12:20" x14ac:dyDescent="0.15">
      <c r="L488" s="503"/>
      <c r="M488" s="488"/>
      <c r="N488" s="488"/>
      <c r="O488" s="488"/>
      <c r="P488" s="488"/>
      <c r="Q488" s="488"/>
      <c r="R488" s="488"/>
      <c r="S488" s="488"/>
      <c r="T488" s="488"/>
    </row>
  </sheetData>
  <mergeCells count="477">
    <mergeCell ref="D304:J304"/>
    <mergeCell ref="D246:D247"/>
    <mergeCell ref="E246:E247"/>
    <mergeCell ref="D248:D249"/>
    <mergeCell ref="E248:E249"/>
    <mergeCell ref="C266:J266"/>
    <mergeCell ref="C278:J278"/>
    <mergeCell ref="D298:J298"/>
    <mergeCell ref="C299:C300"/>
    <mergeCell ref="E299:J299"/>
    <mergeCell ref="B293:J293"/>
    <mergeCell ref="B294:J295"/>
    <mergeCell ref="D303:J303"/>
    <mergeCell ref="E300:J300"/>
    <mergeCell ref="D301:J301"/>
    <mergeCell ref="D302:J302"/>
    <mergeCell ref="B296:J296"/>
    <mergeCell ref="C285:F285"/>
    <mergeCell ref="B289:B290"/>
    <mergeCell ref="B282:B283"/>
    <mergeCell ref="C282:J283"/>
    <mergeCell ref="B287:J287"/>
    <mergeCell ref="C286:J286"/>
    <mergeCell ref="C193:J193"/>
    <mergeCell ref="F175:F176"/>
    <mergeCell ref="C179:C180"/>
    <mergeCell ref="D175:D176"/>
    <mergeCell ref="E175:E176"/>
    <mergeCell ref="F194:J194"/>
    <mergeCell ref="B196:B197"/>
    <mergeCell ref="B194:B195"/>
    <mergeCell ref="B179:B184"/>
    <mergeCell ref="C185:C186"/>
    <mergeCell ref="C187:J189"/>
    <mergeCell ref="C194:C195"/>
    <mergeCell ref="D194:D195"/>
    <mergeCell ref="D196:D197"/>
    <mergeCell ref="C196:C197"/>
    <mergeCell ref="I181:I182"/>
    <mergeCell ref="D179:D180"/>
    <mergeCell ref="H179:H180"/>
    <mergeCell ref="B190:J190"/>
    <mergeCell ref="G179:G180"/>
    <mergeCell ref="C191:J191"/>
    <mergeCell ref="B187:B189"/>
    <mergeCell ref="C175:C176"/>
    <mergeCell ref="E181:E182"/>
    <mergeCell ref="E222:E223"/>
    <mergeCell ref="C224:C225"/>
    <mergeCell ref="C226:C227"/>
    <mergeCell ref="E226:E227"/>
    <mergeCell ref="B226:B227"/>
    <mergeCell ref="B228:B229"/>
    <mergeCell ref="E228:E229"/>
    <mergeCell ref="B284:J284"/>
    <mergeCell ref="E268:E269"/>
    <mergeCell ref="F268:J268"/>
    <mergeCell ref="D273:E273"/>
    <mergeCell ref="D268:D269"/>
    <mergeCell ref="C268:C269"/>
    <mergeCell ref="C277:D277"/>
    <mergeCell ref="B279:B280"/>
    <mergeCell ref="C279:J280"/>
    <mergeCell ref="C274:J274"/>
    <mergeCell ref="B257:B258"/>
    <mergeCell ref="D254:E254"/>
    <mergeCell ref="E252:E253"/>
    <mergeCell ref="C252:C253"/>
    <mergeCell ref="D250:D251"/>
    <mergeCell ref="E250:E251"/>
    <mergeCell ref="D226:D227"/>
    <mergeCell ref="C202:C203"/>
    <mergeCell ref="C206:C207"/>
    <mergeCell ref="B208:B209"/>
    <mergeCell ref="C208:C209"/>
    <mergeCell ref="B214:B215"/>
    <mergeCell ref="C214:C215"/>
    <mergeCell ref="C238:C239"/>
    <mergeCell ref="D238:D239"/>
    <mergeCell ref="C230:C231"/>
    <mergeCell ref="D222:D223"/>
    <mergeCell ref="B220:B221"/>
    <mergeCell ref="B218:B219"/>
    <mergeCell ref="C216:C217"/>
    <mergeCell ref="D216:D217"/>
    <mergeCell ref="D208:D209"/>
    <mergeCell ref="B210:B211"/>
    <mergeCell ref="D210:D211"/>
    <mergeCell ref="B212:B213"/>
    <mergeCell ref="C212:C213"/>
    <mergeCell ref="D212:D213"/>
    <mergeCell ref="D214:D215"/>
    <mergeCell ref="C218:C219"/>
    <mergeCell ref="C220:C221"/>
    <mergeCell ref="D220:D221"/>
    <mergeCell ref="C183:J184"/>
    <mergeCell ref="H138:H139"/>
    <mergeCell ref="G138:G139"/>
    <mergeCell ref="B138:B139"/>
    <mergeCell ref="C138:C139"/>
    <mergeCell ref="E138:E139"/>
    <mergeCell ref="I138:I139"/>
    <mergeCell ref="H175:J176"/>
    <mergeCell ref="F181:F182"/>
    <mergeCell ref="C170:C171"/>
    <mergeCell ref="D170:D171"/>
    <mergeCell ref="G170:J171"/>
    <mergeCell ref="B169:J169"/>
    <mergeCell ref="B150:D150"/>
    <mergeCell ref="J181:J182"/>
    <mergeCell ref="D181:D182"/>
    <mergeCell ref="B175:B176"/>
    <mergeCell ref="B170:B171"/>
    <mergeCell ref="G172:J172"/>
    <mergeCell ref="D162:J162"/>
    <mergeCell ref="B162:B163"/>
    <mergeCell ref="J152:J153"/>
    <mergeCell ref="B152:B153"/>
    <mergeCell ref="C152:C153"/>
    <mergeCell ref="C132:D132"/>
    <mergeCell ref="G174:J174"/>
    <mergeCell ref="G173:J173"/>
    <mergeCell ref="F138:F139"/>
    <mergeCell ref="D138:D139"/>
    <mergeCell ref="C162:C163"/>
    <mergeCell ref="C133:D133"/>
    <mergeCell ref="B161:J161"/>
    <mergeCell ref="B151:J151"/>
    <mergeCell ref="C136:J136"/>
    <mergeCell ref="B160:D160"/>
    <mergeCell ref="G152:G153"/>
    <mergeCell ref="B137:J137"/>
    <mergeCell ref="J138:J139"/>
    <mergeCell ref="B124:B126"/>
    <mergeCell ref="J131:J133"/>
    <mergeCell ref="E133:I133"/>
    <mergeCell ref="E132:I132"/>
    <mergeCell ref="C85:D85"/>
    <mergeCell ref="E130:I130"/>
    <mergeCell ref="E84:H84"/>
    <mergeCell ref="B103:B112"/>
    <mergeCell ref="C83:D83"/>
    <mergeCell ref="D118:J119"/>
    <mergeCell ref="B130:B133"/>
    <mergeCell ref="E85:H85"/>
    <mergeCell ref="G112:J112"/>
    <mergeCell ref="C131:D131"/>
    <mergeCell ref="D111:J111"/>
    <mergeCell ref="C130:D130"/>
    <mergeCell ref="C124:J126"/>
    <mergeCell ref="B129:J129"/>
    <mergeCell ref="B123:J123"/>
    <mergeCell ref="B128:J128"/>
    <mergeCell ref="C127:J127"/>
    <mergeCell ref="G121:J122"/>
    <mergeCell ref="G120:J120"/>
    <mergeCell ref="B113:B119"/>
    <mergeCell ref="C118:C119"/>
    <mergeCell ref="C86:D86"/>
    <mergeCell ref="B120:B122"/>
    <mergeCell ref="B64:J64"/>
    <mergeCell ref="E72:H72"/>
    <mergeCell ref="E78:H78"/>
    <mergeCell ref="C72:D72"/>
    <mergeCell ref="C78:D78"/>
    <mergeCell ref="C75:D75"/>
    <mergeCell ref="C79:D79"/>
    <mergeCell ref="E74:H74"/>
    <mergeCell ref="E75:H75"/>
    <mergeCell ref="C69:J69"/>
    <mergeCell ref="G113:J117"/>
    <mergeCell ref="G65:J65"/>
    <mergeCell ref="B67:J67"/>
    <mergeCell ref="B66:J66"/>
    <mergeCell ref="C80:D80"/>
    <mergeCell ref="E79:H79"/>
    <mergeCell ref="E73:H73"/>
    <mergeCell ref="E77:H77"/>
    <mergeCell ref="C74:D74"/>
    <mergeCell ref="E80:H80"/>
    <mergeCell ref="E81:H81"/>
    <mergeCell ref="C70:D70"/>
    <mergeCell ref="C84:D84"/>
    <mergeCell ref="G59:H59"/>
    <mergeCell ref="I59:J59"/>
    <mergeCell ref="B63:J63"/>
    <mergeCell ref="I60:J60"/>
    <mergeCell ref="F60:G60"/>
    <mergeCell ref="E70:H70"/>
    <mergeCell ref="C68:J68"/>
    <mergeCell ref="C73:D73"/>
    <mergeCell ref="B47:J47"/>
    <mergeCell ref="B46:J46"/>
    <mergeCell ref="B45:J45"/>
    <mergeCell ref="B37:J37"/>
    <mergeCell ref="C44:J44"/>
    <mergeCell ref="C60:D60"/>
    <mergeCell ref="C49:J49"/>
    <mergeCell ref="G41:H41"/>
    <mergeCell ref="C61:D61"/>
    <mergeCell ref="B38:J38"/>
    <mergeCell ref="E52:F52"/>
    <mergeCell ref="G52:H52"/>
    <mergeCell ref="I52:J52"/>
    <mergeCell ref="B51:K51"/>
    <mergeCell ref="C43:J43"/>
    <mergeCell ref="F61:G61"/>
    <mergeCell ref="I61:J61"/>
    <mergeCell ref="C16:J16"/>
    <mergeCell ref="B12:J12"/>
    <mergeCell ref="I13:J13"/>
    <mergeCell ref="C15:J15"/>
    <mergeCell ref="B31:J31"/>
    <mergeCell ref="B34:J34"/>
    <mergeCell ref="B35:J35"/>
    <mergeCell ref="B20:E20"/>
    <mergeCell ref="F20:J20"/>
    <mergeCell ref="C18:J18"/>
    <mergeCell ref="B21:E21"/>
    <mergeCell ref="F21:J21"/>
    <mergeCell ref="B19:J19"/>
    <mergeCell ref="B22:E22"/>
    <mergeCell ref="B24:J24"/>
    <mergeCell ref="B27:J27"/>
    <mergeCell ref="B28:J28"/>
    <mergeCell ref="B29:J29"/>
    <mergeCell ref="C17:J17"/>
    <mergeCell ref="F22:J22"/>
    <mergeCell ref="B23:E23"/>
    <mergeCell ref="F23:J23"/>
    <mergeCell ref="B30:J30"/>
    <mergeCell ref="B33:J33"/>
    <mergeCell ref="B1:J1"/>
    <mergeCell ref="B2:J2"/>
    <mergeCell ref="E3:J3"/>
    <mergeCell ref="I4:J4"/>
    <mergeCell ref="I6:J6"/>
    <mergeCell ref="E6:G6"/>
    <mergeCell ref="B5:J5"/>
    <mergeCell ref="B7:J7"/>
    <mergeCell ref="B14:J14"/>
    <mergeCell ref="B198:B199"/>
    <mergeCell ref="I192:J192"/>
    <mergeCell ref="E200:E201"/>
    <mergeCell ref="C198:C199"/>
    <mergeCell ref="E196:E197"/>
    <mergeCell ref="D198:D199"/>
    <mergeCell ref="E198:E199"/>
    <mergeCell ref="D224:D225"/>
    <mergeCell ref="E224:E225"/>
    <mergeCell ref="C222:C223"/>
    <mergeCell ref="C210:C211"/>
    <mergeCell ref="E208:E209"/>
    <mergeCell ref="B224:B225"/>
    <mergeCell ref="B222:B223"/>
    <mergeCell ref="B200:B201"/>
    <mergeCell ref="C200:C201"/>
    <mergeCell ref="E204:E205"/>
    <mergeCell ref="B206:B207"/>
    <mergeCell ref="B204:B205"/>
    <mergeCell ref="C204:C205"/>
    <mergeCell ref="D204:D205"/>
    <mergeCell ref="B202:B203"/>
    <mergeCell ref="D206:D207"/>
    <mergeCell ref="E206:E207"/>
    <mergeCell ref="E242:E243"/>
    <mergeCell ref="E240:E241"/>
    <mergeCell ref="C234:C235"/>
    <mergeCell ref="C236:C237"/>
    <mergeCell ref="D236:D237"/>
    <mergeCell ref="E236:E237"/>
    <mergeCell ref="B236:B237"/>
    <mergeCell ref="B244:B245"/>
    <mergeCell ref="E238:E239"/>
    <mergeCell ref="B238:B239"/>
    <mergeCell ref="D234:D235"/>
    <mergeCell ref="D228:D229"/>
    <mergeCell ref="B268:B269"/>
    <mergeCell ref="B242:B243"/>
    <mergeCell ref="C242:C243"/>
    <mergeCell ref="C244:C245"/>
    <mergeCell ref="B240:B241"/>
    <mergeCell ref="C240:C241"/>
    <mergeCell ref="D240:D241"/>
    <mergeCell ref="D242:D243"/>
    <mergeCell ref="D310:J310"/>
    <mergeCell ref="F260:J260"/>
    <mergeCell ref="B260:B261"/>
    <mergeCell ref="C276:J276"/>
    <mergeCell ref="C260:C261"/>
    <mergeCell ref="B250:B251"/>
    <mergeCell ref="B246:B247"/>
    <mergeCell ref="C246:C247"/>
    <mergeCell ref="B248:B249"/>
    <mergeCell ref="C248:C249"/>
    <mergeCell ref="B255:B256"/>
    <mergeCell ref="C255:J256"/>
    <mergeCell ref="C257:J258"/>
    <mergeCell ref="B252:B253"/>
    <mergeCell ref="C250:C251"/>
    <mergeCell ref="D252:D253"/>
    <mergeCell ref="B259:J259"/>
    <mergeCell ref="C281:J281"/>
    <mergeCell ref="D265:E265"/>
    <mergeCell ref="B267:J267"/>
    <mergeCell ref="D260:D261"/>
    <mergeCell ref="E260:E261"/>
    <mergeCell ref="B275:J275"/>
    <mergeCell ref="B291:B292"/>
    <mergeCell ref="S473:T474"/>
    <mergeCell ref="O475:P475"/>
    <mergeCell ref="Q475:R475"/>
    <mergeCell ref="S475:T475"/>
    <mergeCell ref="O481:P481"/>
    <mergeCell ref="O479:P479"/>
    <mergeCell ref="Q471:R472"/>
    <mergeCell ref="D312:J312"/>
    <mergeCell ref="M473:N474"/>
    <mergeCell ref="M471:N472"/>
    <mergeCell ref="O471:P472"/>
    <mergeCell ref="S477:T477"/>
    <mergeCell ref="Q487:R488"/>
    <mergeCell ref="S487:T488"/>
    <mergeCell ref="O483:P483"/>
    <mergeCell ref="M477:N477"/>
    <mergeCell ref="Q476:R476"/>
    <mergeCell ref="S476:T476"/>
    <mergeCell ref="O478:P478"/>
    <mergeCell ref="S481:T481"/>
    <mergeCell ref="M483:N483"/>
    <mergeCell ref="M481:N481"/>
    <mergeCell ref="Q481:R481"/>
    <mergeCell ref="Q479:R479"/>
    <mergeCell ref="S479:T479"/>
    <mergeCell ref="M478:N478"/>
    <mergeCell ref="O477:P477"/>
    <mergeCell ref="Q478:R478"/>
    <mergeCell ref="S478:T478"/>
    <mergeCell ref="Q477:R477"/>
    <mergeCell ref="M479:N479"/>
    <mergeCell ref="M480:N480"/>
    <mergeCell ref="S483:T483"/>
    <mergeCell ref="L487:L488"/>
    <mergeCell ref="L471:L472"/>
    <mergeCell ref="B313:J313"/>
    <mergeCell ref="B328:B329"/>
    <mergeCell ref="B330:B335"/>
    <mergeCell ref="B314:C314"/>
    <mergeCell ref="B336:C336"/>
    <mergeCell ref="M475:N475"/>
    <mergeCell ref="O476:P476"/>
    <mergeCell ref="O473:P474"/>
    <mergeCell ref="M486:T486"/>
    <mergeCell ref="M485:T485"/>
    <mergeCell ref="M484:T484"/>
    <mergeCell ref="M476:N476"/>
    <mergeCell ref="O480:P480"/>
    <mergeCell ref="Q480:R480"/>
    <mergeCell ref="S480:T480"/>
    <mergeCell ref="S471:T472"/>
    <mergeCell ref="L473:L474"/>
    <mergeCell ref="Q482:R482"/>
    <mergeCell ref="S482:T482"/>
    <mergeCell ref="M487:N488"/>
    <mergeCell ref="O487:P488"/>
    <mergeCell ref="M482:N482"/>
    <mergeCell ref="B234:B235"/>
    <mergeCell ref="B230:B231"/>
    <mergeCell ref="B232:B233"/>
    <mergeCell ref="C232:C233"/>
    <mergeCell ref="Q483:R483"/>
    <mergeCell ref="Q473:R474"/>
    <mergeCell ref="B340:C340"/>
    <mergeCell ref="B339:C339"/>
    <mergeCell ref="B325:B327"/>
    <mergeCell ref="B297:B312"/>
    <mergeCell ref="B316:B323"/>
    <mergeCell ref="D297:J297"/>
    <mergeCell ref="D305:J305"/>
    <mergeCell ref="D309:J309"/>
    <mergeCell ref="B337:C337"/>
    <mergeCell ref="B338:C338"/>
    <mergeCell ref="B315:C315"/>
    <mergeCell ref="D306:J306"/>
    <mergeCell ref="D307:J307"/>
    <mergeCell ref="D308:J308"/>
    <mergeCell ref="D244:D245"/>
    <mergeCell ref="E244:E245"/>
    <mergeCell ref="O482:P482"/>
    <mergeCell ref="D311:J311"/>
    <mergeCell ref="E152:E153"/>
    <mergeCell ref="D232:D233"/>
    <mergeCell ref="D185:D186"/>
    <mergeCell ref="E210:E211"/>
    <mergeCell ref="I152:I153"/>
    <mergeCell ref="H152:H153"/>
    <mergeCell ref="G175:G176"/>
    <mergeCell ref="F170:F171"/>
    <mergeCell ref="F179:F180"/>
    <mergeCell ref="E179:E180"/>
    <mergeCell ref="E170:E171"/>
    <mergeCell ref="H181:H182"/>
    <mergeCell ref="G181:G182"/>
    <mergeCell ref="I179:I180"/>
    <mergeCell ref="D200:D201"/>
    <mergeCell ref="D230:D231"/>
    <mergeCell ref="E230:E231"/>
    <mergeCell ref="E232:E233"/>
    <mergeCell ref="B177:J178"/>
    <mergeCell ref="B185:B186"/>
    <mergeCell ref="C181:C182"/>
    <mergeCell ref="E185:J186"/>
    <mergeCell ref="B216:B217"/>
    <mergeCell ref="C228:C229"/>
    <mergeCell ref="B32:J32"/>
    <mergeCell ref="E131:I131"/>
    <mergeCell ref="E87:H87"/>
    <mergeCell ref="B69:B88"/>
    <mergeCell ref="C88:I88"/>
    <mergeCell ref="C71:D71"/>
    <mergeCell ref="E71:H71"/>
    <mergeCell ref="B36:J36"/>
    <mergeCell ref="C76:D76"/>
    <mergeCell ref="C77:D77"/>
    <mergeCell ref="B92:B98"/>
    <mergeCell ref="H93:J98"/>
    <mergeCell ref="B99:B100"/>
    <mergeCell ref="G100:J100"/>
    <mergeCell ref="H92:J92"/>
    <mergeCell ref="C50:J50"/>
    <mergeCell ref="C59:D59"/>
    <mergeCell ref="C39:E39"/>
    <mergeCell ref="C48:J48"/>
    <mergeCell ref="E59:F59"/>
    <mergeCell ref="G39:H39"/>
    <mergeCell ref="G40:H40"/>
    <mergeCell ref="B62:J62"/>
    <mergeCell ref="G42:J42"/>
    <mergeCell ref="C89:J89"/>
    <mergeCell ref="C101:J102"/>
    <mergeCell ref="G90:J90"/>
    <mergeCell ref="C103:J103"/>
    <mergeCell ref="H106:J106"/>
    <mergeCell ref="G91:J91"/>
    <mergeCell ref="B101:B102"/>
    <mergeCell ref="E76:H76"/>
    <mergeCell ref="E86:H86"/>
    <mergeCell ref="C105:J105"/>
    <mergeCell ref="C81:D81"/>
    <mergeCell ref="E82:H82"/>
    <mergeCell ref="C82:D82"/>
    <mergeCell ref="E83:H83"/>
    <mergeCell ref="C87:D87"/>
    <mergeCell ref="H107:J110"/>
    <mergeCell ref="G99:J99"/>
    <mergeCell ref="B90:B91"/>
    <mergeCell ref="B342:I342"/>
    <mergeCell ref="L202:L203"/>
    <mergeCell ref="L204:L205"/>
    <mergeCell ref="E216:E217"/>
    <mergeCell ref="D218:D219"/>
    <mergeCell ref="L194:L195"/>
    <mergeCell ref="L196:L197"/>
    <mergeCell ref="L198:L199"/>
    <mergeCell ref="L200:L201"/>
    <mergeCell ref="D202:D203"/>
    <mergeCell ref="E202:E203"/>
    <mergeCell ref="E194:E195"/>
    <mergeCell ref="E212:E213"/>
    <mergeCell ref="E214:E215"/>
    <mergeCell ref="C104:J104"/>
    <mergeCell ref="J179:J180"/>
    <mergeCell ref="F152:F153"/>
    <mergeCell ref="D152:D153"/>
    <mergeCell ref="E234:E235"/>
    <mergeCell ref="E218:E219"/>
    <mergeCell ref="E220:E221"/>
  </mergeCells>
  <phoneticPr fontId="2" type="noConversion"/>
  <dataValidations xWindow="604" yWindow="456" count="8">
    <dataValidation allowBlank="1" showInputMessage="1" showErrorMessage="1" prompt="输入借款到期日期" sqref="F230:J230 F250:K250 F252:K252 F232:K232 F234:K234"/>
    <dataValidation type="list" allowBlank="1" showInputMessage="1" showErrorMessage="1" sqref="E11">
      <formula1>"季度,半年,一年"</formula1>
    </dataValidation>
    <dataValidation type="list" allowBlank="1" showInputMessage="1" showErrorMessage="1" promptTitle="输入提示：" prompt="请在选项中选择" sqref="C6">
      <formula1>"融资租赁,回租赁"</formula1>
    </dataValidation>
    <dataValidation type="whole" allowBlank="1" showInputMessage="1" showErrorMessage="1" prompt="请直接输入数值，单位：元" sqref="B9">
      <formula1>0</formula1>
      <formula2>100000000</formula2>
    </dataValidation>
    <dataValidation type="list" allowBlank="1" showInputMessage="1" showErrorMessage="1" sqref="G4">
      <formula1>"马安"</formula1>
    </dataValidation>
    <dataValidation type="list" allowBlank="1" showInputMessage="1" showErrorMessage="1" sqref="F11">
      <formula1>"等额后付,等额先付,不等额后付,不等额先付"</formula1>
    </dataValidation>
    <dataValidation type="list" allowBlank="1" showInputMessage="1" showErrorMessage="1" sqref="G11">
      <formula1>"明示利率,等额年金,不等额年金"</formula1>
    </dataValidation>
    <dataValidation type="list" allowBlank="1" showInputMessage="1" showErrorMessage="1" sqref="G13">
      <formula1>"是,否"</formula1>
    </dataValidation>
  </dataValidations>
  <pageMargins left="0.75" right="0.75" top="1" bottom="1" header="0.5" footer="0.5"/>
  <pageSetup paperSize="9" scale="50" orientation="landscape" r:id="rId1"/>
  <headerFooter alignWithMargins="0"/>
  <ignoredErrors>
    <ignoredError sqref="G163 D163" numberStoredAsText="1"/>
  </ignoredErrors>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H21"/>
  <sheetViews>
    <sheetView workbookViewId="0">
      <selection activeCell="C11" sqref="C11:D11"/>
    </sheetView>
  </sheetViews>
  <sheetFormatPr defaultRowHeight="12" x14ac:dyDescent="0.15"/>
  <cols>
    <col min="1" max="1" width="2.625" style="12" customWidth="1"/>
    <col min="2" max="2" width="16.125" style="12" bestFit="1" customWidth="1"/>
    <col min="3" max="4" width="11.625" style="12" bestFit="1" customWidth="1"/>
    <col min="5" max="6" width="10.625" style="12" customWidth="1"/>
    <col min="7" max="7" width="11.625" style="12" bestFit="1" customWidth="1"/>
    <col min="8" max="8" width="10.625" style="12" customWidth="1"/>
    <col min="9" max="9" width="9" style="12"/>
    <col min="10" max="10" width="9.75" style="12" bestFit="1" customWidth="1"/>
    <col min="11" max="16384" width="9" style="12"/>
  </cols>
  <sheetData>
    <row r="1" spans="2:8" ht="12.75" thickBot="1" x14ac:dyDescent="0.2">
      <c r="G1" s="12" t="s">
        <v>663</v>
      </c>
    </row>
    <row r="2" spans="2:8" x14ac:dyDescent="0.15">
      <c r="B2" s="617" t="s">
        <v>664</v>
      </c>
      <c r="C2" s="618"/>
      <c r="D2" s="618"/>
      <c r="E2" s="618"/>
      <c r="F2" s="618"/>
      <c r="G2" s="618"/>
      <c r="H2" s="619"/>
    </row>
    <row r="3" spans="2:8" x14ac:dyDescent="0.15">
      <c r="B3" s="13" t="s">
        <v>665</v>
      </c>
      <c r="C3" s="620" t="s">
        <v>666</v>
      </c>
      <c r="D3" s="620"/>
      <c r="E3" s="620" t="s">
        <v>667</v>
      </c>
      <c r="F3" s="620"/>
      <c r="G3" s="620" t="s">
        <v>668</v>
      </c>
      <c r="H3" s="621"/>
    </row>
    <row r="4" spans="2:8" x14ac:dyDescent="0.15">
      <c r="B4" s="14" t="s">
        <v>669</v>
      </c>
      <c r="C4" s="607" t="s">
        <v>670</v>
      </c>
      <c r="D4" s="607"/>
      <c r="E4" s="607"/>
      <c r="F4" s="607"/>
      <c r="G4" s="607"/>
      <c r="H4" s="608"/>
    </row>
    <row r="5" spans="2:8" x14ac:dyDescent="0.15">
      <c r="B5" s="14" t="s">
        <v>671</v>
      </c>
      <c r="C5" s="607">
        <v>2500</v>
      </c>
      <c r="D5" s="607"/>
      <c r="E5" s="607"/>
      <c r="F5" s="607"/>
      <c r="G5" s="607"/>
      <c r="H5" s="608"/>
    </row>
    <row r="6" spans="2:8" x14ac:dyDescent="0.15">
      <c r="B6" s="14" t="s">
        <v>672</v>
      </c>
      <c r="C6" s="159">
        <v>2225</v>
      </c>
      <c r="D6" s="160">
        <v>0.89</v>
      </c>
      <c r="E6" s="607"/>
      <c r="F6" s="607"/>
      <c r="G6" s="607"/>
      <c r="H6" s="608"/>
    </row>
    <row r="7" spans="2:8" x14ac:dyDescent="0.15">
      <c r="B7" s="14" t="s">
        <v>216</v>
      </c>
      <c r="C7" s="161">
        <v>39806</v>
      </c>
      <c r="D7" s="162">
        <v>41571</v>
      </c>
      <c r="E7" s="607"/>
      <c r="F7" s="607"/>
      <c r="G7" s="607"/>
      <c r="H7" s="608"/>
    </row>
    <row r="8" spans="2:8" x14ac:dyDescent="0.15">
      <c r="B8" s="14" t="s">
        <v>673</v>
      </c>
      <c r="C8" s="607">
        <v>10</v>
      </c>
      <c r="D8" s="607"/>
      <c r="E8" s="607"/>
      <c r="F8" s="607"/>
      <c r="G8" s="607"/>
      <c r="H8" s="608"/>
    </row>
    <row r="9" spans="2:8" x14ac:dyDescent="0.15">
      <c r="B9" s="14" t="s">
        <v>674</v>
      </c>
      <c r="C9" s="607">
        <v>1</v>
      </c>
      <c r="D9" s="607"/>
      <c r="E9" s="607"/>
      <c r="F9" s="607"/>
      <c r="G9" s="607"/>
      <c r="H9" s="608"/>
    </row>
    <row r="10" spans="2:8" x14ac:dyDescent="0.15">
      <c r="B10" s="14" t="s">
        <v>675</v>
      </c>
      <c r="C10" s="607">
        <v>182</v>
      </c>
      <c r="D10" s="607"/>
      <c r="E10" s="607"/>
      <c r="F10" s="607"/>
      <c r="G10" s="607"/>
      <c r="H10" s="608"/>
    </row>
    <row r="11" spans="2:8" x14ac:dyDescent="0.15">
      <c r="B11" s="14" t="s">
        <v>676</v>
      </c>
      <c r="C11" s="614">
        <f>2500-125</f>
        <v>2375</v>
      </c>
      <c r="D11" s="614"/>
      <c r="E11" s="615"/>
      <c r="F11" s="615"/>
      <c r="G11" s="615"/>
      <c r="H11" s="616"/>
    </row>
    <row r="12" spans="2:8" x14ac:dyDescent="0.15">
      <c r="B12" s="14" t="s">
        <v>677</v>
      </c>
      <c r="C12" s="607">
        <v>0</v>
      </c>
      <c r="D12" s="607"/>
      <c r="E12" s="607"/>
      <c r="F12" s="607"/>
      <c r="G12" s="607"/>
      <c r="H12" s="608"/>
    </row>
    <row r="13" spans="2:8" x14ac:dyDescent="0.15">
      <c r="B13" s="14" t="s">
        <v>678</v>
      </c>
      <c r="C13" s="607" t="s">
        <v>679</v>
      </c>
      <c r="D13" s="607"/>
      <c r="E13" s="607"/>
      <c r="F13" s="607"/>
      <c r="G13" s="607"/>
      <c r="H13" s="608"/>
    </row>
    <row r="14" spans="2:8" ht="24" x14ac:dyDescent="0.15">
      <c r="B14" s="353" t="s">
        <v>680</v>
      </c>
      <c r="C14" s="612" t="s">
        <v>679</v>
      </c>
      <c r="D14" s="613"/>
      <c r="E14" s="610"/>
      <c r="F14" s="610"/>
      <c r="G14" s="610"/>
      <c r="H14" s="611"/>
    </row>
    <row r="15" spans="2:8" x14ac:dyDescent="0.15">
      <c r="B15" s="354" t="s">
        <v>681</v>
      </c>
      <c r="C15" s="609" t="s">
        <v>682</v>
      </c>
      <c r="D15" s="609"/>
      <c r="E15" s="610"/>
      <c r="F15" s="610"/>
      <c r="G15" s="610"/>
      <c r="H15" s="611"/>
    </row>
    <row r="16" spans="2:8" x14ac:dyDescent="0.15">
      <c r="B16" s="622" t="s">
        <v>683</v>
      </c>
      <c r="C16" s="624" t="s">
        <v>684</v>
      </c>
      <c r="D16" s="625"/>
      <c r="E16" s="610"/>
      <c r="F16" s="610"/>
      <c r="G16" s="610"/>
      <c r="H16" s="611"/>
    </row>
    <row r="17" spans="2:8" x14ac:dyDescent="0.15">
      <c r="B17" s="622"/>
      <c r="C17" s="626"/>
      <c r="D17" s="627"/>
      <c r="E17" s="610"/>
      <c r="F17" s="610"/>
      <c r="G17" s="610"/>
      <c r="H17" s="611"/>
    </row>
    <row r="18" spans="2:8" x14ac:dyDescent="0.15">
      <c r="B18" s="622"/>
      <c r="C18" s="626"/>
      <c r="D18" s="627"/>
      <c r="E18" s="610"/>
      <c r="F18" s="610"/>
      <c r="G18" s="610"/>
      <c r="H18" s="611"/>
    </row>
    <row r="19" spans="2:8" x14ac:dyDescent="0.15">
      <c r="B19" s="622"/>
      <c r="C19" s="626"/>
      <c r="D19" s="627"/>
      <c r="E19" s="610"/>
      <c r="F19" s="610"/>
      <c r="G19" s="610"/>
      <c r="H19" s="611"/>
    </row>
    <row r="20" spans="2:8" ht="12.75" thickBot="1" x14ac:dyDescent="0.2">
      <c r="B20" s="623"/>
      <c r="C20" s="628"/>
      <c r="D20" s="629"/>
      <c r="E20" s="630"/>
      <c r="F20" s="630"/>
      <c r="G20" s="630"/>
      <c r="H20" s="631"/>
    </row>
    <row r="21" spans="2:8" x14ac:dyDescent="0.15">
      <c r="B21" s="20"/>
      <c r="C21" s="163"/>
      <c r="D21" s="163"/>
      <c r="E21" s="163"/>
      <c r="F21" s="163"/>
      <c r="G21" s="163"/>
      <c r="H21" s="163"/>
    </row>
  </sheetData>
  <mergeCells count="42">
    <mergeCell ref="B2:H2"/>
    <mergeCell ref="C3:D3"/>
    <mergeCell ref="E3:F3"/>
    <mergeCell ref="G3:H3"/>
    <mergeCell ref="B16:B20"/>
    <mergeCell ref="C16:D20"/>
    <mergeCell ref="E16:F20"/>
    <mergeCell ref="G16:H20"/>
    <mergeCell ref="C4:D4"/>
    <mergeCell ref="E4:F4"/>
    <mergeCell ref="C9:D9"/>
    <mergeCell ref="E9:F9"/>
    <mergeCell ref="G9:H9"/>
    <mergeCell ref="G4:H4"/>
    <mergeCell ref="C5:D5"/>
    <mergeCell ref="E5:F5"/>
    <mergeCell ref="G5:H5"/>
    <mergeCell ref="E7:F7"/>
    <mergeCell ref="G7:H7"/>
    <mergeCell ref="C8:D8"/>
    <mergeCell ref="E8:F8"/>
    <mergeCell ref="G8:H8"/>
    <mergeCell ref="E6:F6"/>
    <mergeCell ref="G6:H6"/>
    <mergeCell ref="C10:D10"/>
    <mergeCell ref="E10:F10"/>
    <mergeCell ref="G10:H10"/>
    <mergeCell ref="C11:D11"/>
    <mergeCell ref="E11:F11"/>
    <mergeCell ref="G11:H11"/>
    <mergeCell ref="C12:D12"/>
    <mergeCell ref="E12:F12"/>
    <mergeCell ref="G12:H12"/>
    <mergeCell ref="C15:D15"/>
    <mergeCell ref="E15:F15"/>
    <mergeCell ref="G15:H15"/>
    <mergeCell ref="C13:D13"/>
    <mergeCell ref="E13:F13"/>
    <mergeCell ref="G13:H13"/>
    <mergeCell ref="C14:D14"/>
    <mergeCell ref="E14:F14"/>
    <mergeCell ref="G14:H14"/>
  </mergeCells>
  <phoneticPr fontId="2" type="noConversion"/>
  <pageMargins left="0.75" right="0.75" top="1" bottom="1" header="0.5" footer="0.5"/>
  <headerFooter alignWithMargins="0"/>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B389"/>
  <sheetViews>
    <sheetView workbookViewId="0">
      <selection activeCell="D66" sqref="D66"/>
    </sheetView>
  </sheetViews>
  <sheetFormatPr defaultRowHeight="11.25" x14ac:dyDescent="0.15"/>
  <cols>
    <col min="1" max="1" width="23" style="1" customWidth="1"/>
    <col min="2" max="2" width="11.625" style="2" bestFit="1" customWidth="1"/>
    <col min="3" max="3" width="8.5" style="2" bestFit="1" customWidth="1"/>
    <col min="4" max="4" width="11.625" style="25" bestFit="1" customWidth="1"/>
    <col min="5" max="5" width="8.5" style="2" bestFit="1" customWidth="1"/>
    <col min="6" max="6" width="20.5" style="25" bestFit="1" customWidth="1"/>
    <col min="7" max="7" width="13.375" style="2" bestFit="1" customWidth="1"/>
    <col min="8" max="8" width="9" style="2"/>
    <col min="9" max="9" width="9.75" style="2" bestFit="1" customWidth="1"/>
    <col min="10" max="16384" width="9" style="2"/>
  </cols>
  <sheetData>
    <row r="1" spans="1:26" ht="12.75" thickBot="1" x14ac:dyDescent="0.2">
      <c r="A1" s="74"/>
      <c r="B1" s="75"/>
      <c r="C1" s="74"/>
      <c r="D1" s="76"/>
      <c r="E1" s="74"/>
      <c r="F1" s="76"/>
      <c r="G1" s="121" t="s">
        <v>329</v>
      </c>
      <c r="H1" s="7"/>
      <c r="I1" s="7"/>
      <c r="J1" s="7"/>
      <c r="K1" s="7"/>
      <c r="L1" s="7"/>
      <c r="M1" s="7"/>
      <c r="N1" s="7"/>
      <c r="O1" s="7"/>
      <c r="P1" s="7"/>
      <c r="Q1" s="7"/>
      <c r="R1" s="7"/>
      <c r="S1" s="7"/>
      <c r="T1" s="7"/>
      <c r="U1" s="7"/>
      <c r="V1" s="7"/>
      <c r="W1" s="7"/>
      <c r="X1" s="7"/>
      <c r="Y1" s="7"/>
      <c r="Z1" s="6"/>
    </row>
    <row r="2" spans="1:26" ht="12" x14ac:dyDescent="0.15">
      <c r="A2" s="77"/>
      <c r="B2" s="77" t="s">
        <v>523</v>
      </c>
      <c r="C2" s="77" t="s">
        <v>105</v>
      </c>
      <c r="D2" s="78" t="s">
        <v>524</v>
      </c>
      <c r="E2" s="77" t="s">
        <v>105</v>
      </c>
      <c r="F2" s="79" t="s">
        <v>327</v>
      </c>
      <c r="G2" s="80" t="s">
        <v>105</v>
      </c>
      <c r="H2" s="7"/>
      <c r="I2" s="7"/>
      <c r="J2" s="7"/>
      <c r="K2" s="7"/>
      <c r="L2" s="7"/>
      <c r="M2" s="7"/>
      <c r="N2" s="7"/>
      <c r="O2" s="7"/>
      <c r="P2" s="7"/>
      <c r="Q2" s="7"/>
      <c r="R2" s="7"/>
      <c r="S2" s="7"/>
      <c r="T2" s="7"/>
      <c r="U2" s="7"/>
      <c r="V2" s="7"/>
      <c r="W2" s="7"/>
      <c r="X2" s="7"/>
      <c r="Y2" s="7"/>
      <c r="Z2" s="6"/>
    </row>
    <row r="3" spans="1:26" ht="12" x14ac:dyDescent="0.15">
      <c r="A3" s="658" t="s">
        <v>525</v>
      </c>
      <c r="B3" s="659">
        <f>B4+B5+B8</f>
        <v>17362.528808000003</v>
      </c>
      <c r="C3" s="660">
        <f>B3/$B$3</f>
        <v>1</v>
      </c>
      <c r="D3" s="661">
        <f>SUM(D4:D8)</f>
        <v>20488.759170000001</v>
      </c>
      <c r="E3" s="660">
        <f t="shared" ref="E3:E57" si="0">D3/$D$3</f>
        <v>1</v>
      </c>
      <c r="F3" s="662">
        <f>SUM(F4:F8)</f>
        <v>23090.739102999996</v>
      </c>
      <c r="G3" s="663">
        <f t="shared" ref="G3:G47" si="1">F3/$F$3</f>
        <v>1</v>
      </c>
      <c r="H3" s="7"/>
      <c r="I3" s="7">
        <f>F3*30%</f>
        <v>6927.2217308999989</v>
      </c>
      <c r="J3" s="7"/>
      <c r="K3" s="7"/>
      <c r="L3" s="7"/>
      <c r="M3" s="7"/>
      <c r="N3" s="7"/>
      <c r="O3" s="7"/>
      <c r="P3" s="7"/>
      <c r="Q3" s="7"/>
      <c r="R3" s="7"/>
      <c r="S3" s="7"/>
      <c r="T3" s="7"/>
      <c r="U3" s="7"/>
      <c r="V3" s="7"/>
      <c r="W3" s="7"/>
      <c r="X3" s="7"/>
      <c r="Y3" s="7"/>
      <c r="Z3" s="6"/>
    </row>
    <row r="4" spans="1:26" ht="12" x14ac:dyDescent="0.15">
      <c r="A4" s="18" t="s">
        <v>106</v>
      </c>
      <c r="B4" s="81">
        <f>79331751.9/10000</f>
        <v>7933.1751900000008</v>
      </c>
      <c r="C4" s="664">
        <f t="shared" ref="C4:C57" si="2">B4/$B$3</f>
        <v>0.45691357968228058</v>
      </c>
      <c r="D4" s="24">
        <f>75608050.6/10000</f>
        <v>7560.8050599999997</v>
      </c>
      <c r="E4" s="664">
        <f t="shared" si="0"/>
        <v>0.36902210608589037</v>
      </c>
      <c r="F4" s="82">
        <f>97108856.2/10000</f>
        <v>9710.8856200000009</v>
      </c>
      <c r="G4" s="666">
        <f t="shared" si="1"/>
        <v>0.4205532606246607</v>
      </c>
      <c r="H4" s="7"/>
      <c r="I4" s="7">
        <f>I3/10000</f>
        <v>0.69272217308999984</v>
      </c>
      <c r="J4" s="7"/>
      <c r="K4" s="7"/>
      <c r="L4" s="7"/>
      <c r="M4" s="7"/>
      <c r="N4" s="7"/>
      <c r="O4" s="7"/>
      <c r="P4" s="7"/>
      <c r="Q4" s="7"/>
      <c r="R4" s="7"/>
      <c r="S4" s="7"/>
      <c r="T4" s="7"/>
      <c r="U4" s="7"/>
      <c r="V4" s="7"/>
      <c r="W4" s="7"/>
      <c r="X4" s="7"/>
      <c r="Y4" s="7"/>
      <c r="Z4" s="6"/>
    </row>
    <row r="5" spans="1:26" ht="12" x14ac:dyDescent="0.15">
      <c r="A5" s="18" t="s">
        <v>107</v>
      </c>
      <c r="B5" s="81">
        <f>89762486.9/10000</f>
        <v>8976.2486900000004</v>
      </c>
      <c r="C5" s="664">
        <f t="shared" si="2"/>
        <v>0.51698970750528472</v>
      </c>
      <c r="D5" s="24">
        <f>125085468.7/10000</f>
        <v>12508.54687</v>
      </c>
      <c r="E5" s="664">
        <f t="shared" si="0"/>
        <v>0.61050777971538817</v>
      </c>
      <c r="F5" s="82">
        <f>122460089.1/10000</f>
        <v>12246.008909999999</v>
      </c>
      <c r="G5" s="666">
        <f t="shared" si="1"/>
        <v>0.5303428727584113</v>
      </c>
      <c r="H5" s="7"/>
      <c r="I5" s="7"/>
      <c r="J5" s="7"/>
      <c r="K5" s="7"/>
      <c r="L5" s="7"/>
      <c r="M5" s="7"/>
      <c r="N5" s="7"/>
      <c r="O5" s="7"/>
      <c r="P5" s="7"/>
      <c r="Q5" s="7"/>
      <c r="R5" s="7"/>
      <c r="S5" s="7"/>
      <c r="T5" s="7"/>
      <c r="U5" s="7"/>
      <c r="V5" s="7"/>
      <c r="W5" s="7"/>
      <c r="X5" s="7"/>
      <c r="Y5" s="7"/>
      <c r="Z5" s="6"/>
    </row>
    <row r="6" spans="1:26" ht="12" x14ac:dyDescent="0.15">
      <c r="A6" s="18" t="s">
        <v>526</v>
      </c>
      <c r="B6" s="81">
        <v>0</v>
      </c>
      <c r="C6" s="664">
        <f t="shared" si="2"/>
        <v>0</v>
      </c>
      <c r="D6" s="24"/>
      <c r="E6" s="664">
        <f t="shared" si="0"/>
        <v>0</v>
      </c>
      <c r="F6" s="82"/>
      <c r="G6" s="666">
        <f t="shared" si="1"/>
        <v>0</v>
      </c>
      <c r="H6" s="7"/>
      <c r="I6" s="7"/>
      <c r="J6" s="7"/>
      <c r="K6" s="7"/>
      <c r="L6" s="7"/>
      <c r="M6" s="7"/>
      <c r="N6" s="7"/>
      <c r="O6" s="7"/>
      <c r="P6" s="7"/>
      <c r="Q6" s="7"/>
      <c r="R6" s="7"/>
      <c r="S6" s="7"/>
      <c r="T6" s="7"/>
      <c r="U6" s="7"/>
      <c r="V6" s="7"/>
      <c r="W6" s="7"/>
      <c r="X6" s="7"/>
      <c r="Y6" s="7"/>
      <c r="Z6" s="6"/>
    </row>
    <row r="7" spans="1:26" ht="12" x14ac:dyDescent="0.15">
      <c r="A7" s="18" t="s">
        <v>527</v>
      </c>
      <c r="B7" s="81">
        <v>0</v>
      </c>
      <c r="C7" s="664">
        <f t="shared" si="2"/>
        <v>0</v>
      </c>
      <c r="D7" s="24"/>
      <c r="E7" s="664">
        <f t="shared" si="0"/>
        <v>0</v>
      </c>
      <c r="F7" s="82"/>
      <c r="G7" s="666">
        <f t="shared" si="1"/>
        <v>0</v>
      </c>
      <c r="H7" s="7"/>
      <c r="I7" s="7"/>
      <c r="J7" s="7"/>
      <c r="K7" s="7"/>
      <c r="L7" s="7"/>
      <c r="M7" s="7"/>
      <c r="N7" s="7"/>
      <c r="O7" s="7"/>
      <c r="P7" s="7"/>
      <c r="Q7" s="7"/>
      <c r="R7" s="7"/>
      <c r="S7" s="7"/>
      <c r="T7" s="7"/>
      <c r="U7" s="7"/>
      <c r="V7" s="7"/>
      <c r="W7" s="7"/>
      <c r="X7" s="7"/>
      <c r="Y7" s="7"/>
      <c r="Z7" s="6"/>
    </row>
    <row r="8" spans="1:26" ht="12" x14ac:dyDescent="0.15">
      <c r="A8" s="18" t="s">
        <v>108</v>
      </c>
      <c r="B8" s="81">
        <f>4531049.28/10000</f>
        <v>453.10492800000003</v>
      </c>
      <c r="C8" s="664">
        <f t="shared" si="2"/>
        <v>2.6096712812434687E-2</v>
      </c>
      <c r="D8" s="24">
        <f>4194072.4/10000</f>
        <v>419.40724</v>
      </c>
      <c r="E8" s="664">
        <f t="shared" si="0"/>
        <v>2.0470114198721384E-2</v>
      </c>
      <c r="F8" s="82">
        <f>11338445.73/10000</f>
        <v>1133.8445730000001</v>
      </c>
      <c r="G8" s="666">
        <f t="shared" si="1"/>
        <v>4.9103866616928199E-2</v>
      </c>
      <c r="H8" s="7"/>
      <c r="I8" s="7"/>
      <c r="J8" s="7"/>
      <c r="K8" s="7"/>
      <c r="L8" s="7"/>
      <c r="M8" s="7"/>
      <c r="N8" s="7"/>
      <c r="O8" s="7"/>
      <c r="P8" s="7"/>
      <c r="Q8" s="7"/>
      <c r="R8" s="7"/>
      <c r="S8" s="7"/>
      <c r="T8" s="7"/>
      <c r="U8" s="7"/>
      <c r="V8" s="7"/>
      <c r="W8" s="7"/>
      <c r="X8" s="7"/>
      <c r="Y8" s="7"/>
      <c r="Z8" s="6"/>
    </row>
    <row r="9" spans="1:26" ht="12" x14ac:dyDescent="0.15">
      <c r="A9" s="83" t="s">
        <v>528</v>
      </c>
      <c r="B9" s="84">
        <f>B17+B38+B49+B50+B54+B55</f>
        <v>16680.290578</v>
      </c>
      <c r="C9" s="664">
        <f t="shared" si="2"/>
        <v>0.96070628665072955</v>
      </c>
      <c r="D9" s="84">
        <f>D17+D38+D49+D50+D54+D55</f>
        <v>17696.728148000002</v>
      </c>
      <c r="E9" s="664">
        <f t="shared" si="0"/>
        <v>0.8637286426750459</v>
      </c>
      <c r="F9" s="84">
        <f>F17+F38+F49+F50+F54+F55</f>
        <v>19837.939010000002</v>
      </c>
      <c r="G9" s="666">
        <f t="shared" si="1"/>
        <v>0.85912966759139453</v>
      </c>
      <c r="H9" s="7"/>
      <c r="I9" s="7"/>
      <c r="J9" s="7"/>
      <c r="K9" s="7"/>
      <c r="L9" s="7"/>
      <c r="M9" s="7"/>
      <c r="N9" s="7"/>
      <c r="O9" s="7"/>
      <c r="P9" s="7"/>
      <c r="Q9" s="7"/>
      <c r="R9" s="7"/>
      <c r="S9" s="7"/>
      <c r="T9" s="7"/>
      <c r="U9" s="7"/>
      <c r="V9" s="7"/>
      <c r="W9" s="7"/>
      <c r="X9" s="7"/>
      <c r="Y9" s="7"/>
      <c r="Z9" s="6"/>
    </row>
    <row r="10" spans="1:26" ht="12" x14ac:dyDescent="0.15">
      <c r="A10" s="18" t="s">
        <v>109</v>
      </c>
      <c r="B10" s="81">
        <f>SUM(B11:B15)</f>
        <v>3785.19805</v>
      </c>
      <c r="C10" s="665">
        <f t="shared" si="2"/>
        <v>0.21800960515935458</v>
      </c>
      <c r="D10" s="81">
        <f>SUM(D11:D15)</f>
        <v>4875.9827079999995</v>
      </c>
      <c r="E10" s="665">
        <f t="shared" si="0"/>
        <v>0.23798330916688692</v>
      </c>
      <c r="F10" s="81">
        <f>SUM(F11:F15)</f>
        <v>4930.5018580000005</v>
      </c>
      <c r="G10" s="667">
        <f t="shared" si="1"/>
        <v>0.21352724293521724</v>
      </c>
      <c r="H10" s="7"/>
      <c r="I10" s="7"/>
      <c r="J10" s="7"/>
      <c r="K10" s="7"/>
      <c r="L10" s="7"/>
      <c r="M10" s="7"/>
      <c r="N10" s="7"/>
      <c r="O10" s="7"/>
      <c r="P10" s="7"/>
      <c r="Q10" s="7"/>
      <c r="R10" s="7"/>
      <c r="S10" s="7"/>
      <c r="T10" s="7"/>
      <c r="U10" s="7"/>
      <c r="V10" s="7"/>
      <c r="W10" s="7"/>
      <c r="X10" s="7"/>
      <c r="Y10" s="7"/>
      <c r="Z10" s="6"/>
    </row>
    <row r="11" spans="1:26" ht="12" x14ac:dyDescent="0.15">
      <c r="A11" s="18" t="s">
        <v>529</v>
      </c>
      <c r="B11" s="81">
        <f>16706100.7/10000</f>
        <v>1670.61007</v>
      </c>
      <c r="C11" s="664">
        <f t="shared" si="2"/>
        <v>9.6219282828791927E-2</v>
      </c>
      <c r="D11" s="24">
        <f>24699503.8/10000</f>
        <v>2469.9503800000002</v>
      </c>
      <c r="E11" s="664">
        <f t="shared" si="0"/>
        <v>0.12055148676922049</v>
      </c>
      <c r="F11" s="82">
        <f>23754364/10000</f>
        <v>2375.4364</v>
      </c>
      <c r="G11" s="666">
        <f t="shared" si="1"/>
        <v>0.10287398724674771</v>
      </c>
      <c r="H11" s="7"/>
      <c r="I11" s="7"/>
      <c r="J11" s="7"/>
      <c r="K11" s="7"/>
      <c r="L11" s="7"/>
      <c r="M11" s="7"/>
      <c r="N11" s="7"/>
      <c r="O11" s="7"/>
      <c r="P11" s="7"/>
      <c r="Q11" s="7"/>
      <c r="R11" s="7"/>
      <c r="S11" s="7"/>
      <c r="T11" s="7"/>
      <c r="U11" s="7"/>
      <c r="V11" s="7"/>
      <c r="W11" s="7"/>
      <c r="X11" s="7"/>
      <c r="Y11" s="7"/>
      <c r="Z11" s="6"/>
    </row>
    <row r="12" spans="1:26" ht="12.75" x14ac:dyDescent="0.15">
      <c r="A12" s="85" t="s">
        <v>530</v>
      </c>
      <c r="B12" s="81">
        <f>1754254/10000</f>
        <v>175.4254</v>
      </c>
      <c r="C12" s="664">
        <f t="shared" si="2"/>
        <v>1.0103677980316471E-2</v>
      </c>
      <c r="D12" s="24">
        <f>5137036.56/10000</f>
        <v>513.70365599999991</v>
      </c>
      <c r="E12" s="664">
        <f t="shared" si="0"/>
        <v>2.5072462989958601E-2</v>
      </c>
      <c r="F12" s="82">
        <f>8012540.8/10000</f>
        <v>801.25407999999993</v>
      </c>
      <c r="G12" s="666">
        <f t="shared" si="1"/>
        <v>3.4700235294586101E-2</v>
      </c>
      <c r="H12" s="7"/>
      <c r="I12" s="7"/>
      <c r="J12" s="7"/>
      <c r="K12" s="7"/>
      <c r="L12" s="7"/>
      <c r="M12" s="7"/>
      <c r="N12" s="7"/>
      <c r="O12" s="7"/>
      <c r="P12" s="7"/>
      <c r="Q12" s="7"/>
      <c r="R12" s="7"/>
      <c r="S12" s="7"/>
      <c r="T12" s="7"/>
      <c r="U12" s="7"/>
      <c r="V12" s="7"/>
      <c r="W12" s="7"/>
      <c r="X12" s="7"/>
      <c r="Y12" s="7"/>
      <c r="Z12" s="6"/>
    </row>
    <row r="13" spans="1:26" ht="12.75" x14ac:dyDescent="0.15">
      <c r="A13" s="85" t="s">
        <v>531</v>
      </c>
      <c r="B13" s="81">
        <v>0</v>
      </c>
      <c r="C13" s="664">
        <f t="shared" si="2"/>
        <v>0</v>
      </c>
      <c r="D13" s="24">
        <f>5000/10000</f>
        <v>0.5</v>
      </c>
      <c r="E13" s="664">
        <f t="shared" si="0"/>
        <v>2.4403625219633051E-5</v>
      </c>
      <c r="F13" s="82"/>
      <c r="G13" s="666">
        <f t="shared" si="1"/>
        <v>0</v>
      </c>
      <c r="H13" s="7"/>
      <c r="I13" s="7"/>
      <c r="J13" s="7"/>
      <c r="K13" s="7"/>
      <c r="L13" s="7"/>
      <c r="M13" s="7"/>
      <c r="N13" s="7"/>
      <c r="O13" s="7"/>
      <c r="P13" s="7"/>
      <c r="Q13" s="7"/>
      <c r="R13" s="7"/>
      <c r="S13" s="7"/>
      <c r="T13" s="7"/>
      <c r="U13" s="7"/>
      <c r="V13" s="7"/>
      <c r="W13" s="7"/>
      <c r="X13" s="7"/>
      <c r="Y13" s="7"/>
      <c r="Z13" s="6"/>
    </row>
    <row r="14" spans="1:26" ht="12.75" x14ac:dyDescent="0.15">
      <c r="A14" s="85" t="s">
        <v>532</v>
      </c>
      <c r="B14" s="81">
        <f>4658700.8/10000</f>
        <v>465.87007999999997</v>
      </c>
      <c r="C14" s="664">
        <f t="shared" si="2"/>
        <v>2.6831925530648768E-2</v>
      </c>
      <c r="D14" s="24">
        <f>125470/10000</f>
        <v>12.547000000000001</v>
      </c>
      <c r="E14" s="664">
        <f t="shared" si="0"/>
        <v>6.1238457126147183E-4</v>
      </c>
      <c r="F14" s="82">
        <f>852678.4/10000</f>
        <v>85.267840000000007</v>
      </c>
      <c r="G14" s="666">
        <f t="shared" si="1"/>
        <v>3.6927289169761497E-3</v>
      </c>
      <c r="H14" s="7"/>
      <c r="I14" s="7"/>
      <c r="J14" s="7"/>
      <c r="K14" s="7"/>
      <c r="L14" s="7"/>
      <c r="M14" s="7"/>
      <c r="N14" s="7"/>
      <c r="O14" s="7"/>
      <c r="P14" s="7"/>
      <c r="Q14" s="7"/>
      <c r="R14" s="7"/>
      <c r="S14" s="7"/>
      <c r="T14" s="7"/>
      <c r="U14" s="7"/>
      <c r="V14" s="7"/>
      <c r="W14" s="7"/>
      <c r="X14" s="7"/>
      <c r="Y14" s="7"/>
      <c r="Z14" s="6"/>
    </row>
    <row r="15" spans="1:26" ht="12.75" x14ac:dyDescent="0.15">
      <c r="A15" s="85" t="s">
        <v>533</v>
      </c>
      <c r="B15" s="81">
        <f>14732925/10000</f>
        <v>1473.2925</v>
      </c>
      <c r="C15" s="664">
        <f t="shared" si="2"/>
        <v>8.4854718819597413E-2</v>
      </c>
      <c r="D15" s="24">
        <f>(3195393.72+15597423)/10000</f>
        <v>1879.2816719999998</v>
      </c>
      <c r="E15" s="664">
        <f t="shared" si="0"/>
        <v>9.1722571211226733E-2</v>
      </c>
      <c r="F15" s="82">
        <f>16685435.38/10000</f>
        <v>1668.5435380000001</v>
      </c>
      <c r="G15" s="666">
        <f t="shared" si="1"/>
        <v>7.2260291476907268E-2</v>
      </c>
      <c r="H15" s="7"/>
      <c r="I15" s="7"/>
      <c r="J15" s="7"/>
      <c r="K15" s="7"/>
      <c r="L15" s="7"/>
      <c r="M15" s="7"/>
      <c r="N15" s="7"/>
      <c r="O15" s="7"/>
      <c r="P15" s="7"/>
      <c r="Q15" s="7"/>
      <c r="R15" s="7"/>
      <c r="S15" s="7"/>
      <c r="T15" s="7"/>
      <c r="U15" s="7"/>
      <c r="V15" s="7"/>
      <c r="W15" s="7"/>
      <c r="X15" s="7"/>
      <c r="Y15" s="7"/>
      <c r="Z15" s="6"/>
    </row>
    <row r="16" spans="1:26" ht="12" x14ac:dyDescent="0.15">
      <c r="A16" s="18" t="s">
        <v>534</v>
      </c>
      <c r="B16" s="81">
        <f>15503837.05/10000</f>
        <v>1550.383705</v>
      </c>
      <c r="C16" s="664">
        <f t="shared" si="2"/>
        <v>8.9294809652706877E-2</v>
      </c>
      <c r="D16" s="24">
        <f>28106287.03/10000</f>
        <v>2810.6287030000003</v>
      </c>
      <c r="E16" s="664">
        <f t="shared" si="0"/>
        <v>0.13717905899911068</v>
      </c>
      <c r="F16" s="82">
        <f>34277288.76/10000</f>
        <v>3427.7288759999997</v>
      </c>
      <c r="G16" s="666">
        <f t="shared" si="1"/>
        <v>0.14844604413527249</v>
      </c>
      <c r="H16" s="7"/>
      <c r="I16" s="7"/>
      <c r="J16" s="7"/>
      <c r="K16" s="7"/>
      <c r="L16" s="7"/>
      <c r="M16" s="7"/>
      <c r="N16" s="7"/>
      <c r="O16" s="7"/>
      <c r="P16" s="7"/>
      <c r="Q16" s="7"/>
      <c r="R16" s="7"/>
      <c r="S16" s="7"/>
      <c r="T16" s="7"/>
      <c r="U16" s="7"/>
      <c r="V16" s="7"/>
      <c r="W16" s="7"/>
      <c r="X16" s="7"/>
      <c r="Y16" s="7"/>
      <c r="Z16" s="6"/>
    </row>
    <row r="17" spans="1:26" ht="12" x14ac:dyDescent="0.15">
      <c r="A17" s="83" t="s">
        <v>535</v>
      </c>
      <c r="B17" s="84">
        <f>B10+B16</f>
        <v>5335.5817550000002</v>
      </c>
      <c r="C17" s="664">
        <f t="shared" si="2"/>
        <v>0.3073044148120615</v>
      </c>
      <c r="D17" s="86">
        <f>D10+D16</f>
        <v>7686.6114109999999</v>
      </c>
      <c r="E17" s="664">
        <f t="shared" si="0"/>
        <v>0.37516236816599757</v>
      </c>
      <c r="F17" s="87">
        <f>F10+F16</f>
        <v>8358.2307340000007</v>
      </c>
      <c r="G17" s="666">
        <f t="shared" si="1"/>
        <v>0.36197328707048976</v>
      </c>
      <c r="H17" s="7"/>
      <c r="I17" s="7"/>
      <c r="J17" s="7"/>
      <c r="K17" s="7"/>
      <c r="L17" s="7"/>
      <c r="M17" s="7"/>
      <c r="N17" s="7"/>
      <c r="O17" s="7"/>
      <c r="P17" s="7"/>
      <c r="Q17" s="7"/>
      <c r="R17" s="7"/>
      <c r="S17" s="7"/>
      <c r="T17" s="7"/>
      <c r="U17" s="7"/>
      <c r="V17" s="7"/>
      <c r="W17" s="7"/>
      <c r="X17" s="7"/>
      <c r="Y17" s="7"/>
      <c r="Z17" s="6"/>
    </row>
    <row r="18" spans="1:26" ht="12" x14ac:dyDescent="0.15">
      <c r="A18" s="18" t="s">
        <v>536</v>
      </c>
      <c r="B18" s="81">
        <f>516735.92/10000</f>
        <v>51.673591999999999</v>
      </c>
      <c r="C18" s="664">
        <f t="shared" si="2"/>
        <v>2.9761558682736781E-3</v>
      </c>
      <c r="D18" s="24">
        <f>397835.69/10000</f>
        <v>39.783569</v>
      </c>
      <c r="E18" s="664">
        <f t="shared" si="0"/>
        <v>1.9417266155508234E-3</v>
      </c>
      <c r="F18" s="82">
        <f>588841.79/10000</f>
        <v>58.884179000000003</v>
      </c>
      <c r="G18" s="666">
        <f t="shared" si="1"/>
        <v>2.5501210133351535E-3</v>
      </c>
      <c r="H18" s="7"/>
      <c r="I18" s="7"/>
      <c r="J18" s="7"/>
      <c r="K18" s="7"/>
      <c r="L18" s="7"/>
      <c r="M18" s="7"/>
      <c r="N18" s="7"/>
      <c r="O18" s="7"/>
      <c r="P18" s="7"/>
      <c r="Q18" s="7"/>
      <c r="R18" s="7"/>
      <c r="S18" s="7"/>
      <c r="T18" s="7"/>
      <c r="U18" s="7"/>
      <c r="V18" s="7"/>
      <c r="W18" s="7"/>
      <c r="X18" s="7"/>
      <c r="Y18" s="7"/>
      <c r="Z18" s="6"/>
    </row>
    <row r="19" spans="1:26" ht="12" x14ac:dyDescent="0.15">
      <c r="A19" s="18" t="s">
        <v>537</v>
      </c>
      <c r="B19" s="81">
        <f>61080/10000</f>
        <v>6.1079999999999997</v>
      </c>
      <c r="C19" s="664">
        <f t="shared" si="2"/>
        <v>3.5179207289122894E-4</v>
      </c>
      <c r="D19" s="24">
        <f>885444.37/10000</f>
        <v>88.544437000000002</v>
      </c>
      <c r="E19" s="664">
        <f t="shared" si="0"/>
        <v>4.3216105116628198E-3</v>
      </c>
      <c r="F19" s="82">
        <f>863439.3/10000</f>
        <v>86.34393</v>
      </c>
      <c r="G19" s="666">
        <f t="shared" si="1"/>
        <v>3.7393315828847602E-3</v>
      </c>
      <c r="H19" s="7"/>
      <c r="I19" s="7"/>
      <c r="J19" s="7"/>
      <c r="K19" s="7"/>
      <c r="L19" s="7"/>
      <c r="M19" s="7"/>
      <c r="N19" s="7"/>
      <c r="O19" s="7"/>
      <c r="P19" s="7"/>
      <c r="Q19" s="7"/>
      <c r="R19" s="7"/>
      <c r="S19" s="7"/>
      <c r="T19" s="7"/>
      <c r="U19" s="7"/>
      <c r="V19" s="7"/>
      <c r="W19" s="7"/>
      <c r="X19" s="7"/>
      <c r="Y19" s="7"/>
      <c r="Z19" s="6"/>
    </row>
    <row r="20" spans="1:26" ht="12" x14ac:dyDescent="0.15">
      <c r="A20" s="18" t="s">
        <v>538</v>
      </c>
      <c r="B20" s="81">
        <f>7150915.06/10000</f>
        <v>715.09150599999998</v>
      </c>
      <c r="C20" s="664">
        <f>B20/$B$3</f>
        <v>4.1185907531540715E-2</v>
      </c>
      <c r="D20" s="88">
        <f>(3746207.03+5091691.8)/10000</f>
        <v>883.78988300000003</v>
      </c>
      <c r="E20" s="664">
        <f t="shared" si="0"/>
        <v>4.3135354155270693E-2</v>
      </c>
      <c r="F20" s="82">
        <f>(3696926+5125451.92)/10000</f>
        <v>882.23779200000001</v>
      </c>
      <c r="G20" s="666">
        <f t="shared" si="1"/>
        <v>3.8207429743354462E-2</v>
      </c>
      <c r="H20" s="7"/>
      <c r="I20" s="7"/>
      <c r="J20" s="7"/>
      <c r="K20" s="7"/>
      <c r="L20" s="7"/>
      <c r="M20" s="7"/>
      <c r="N20" s="7"/>
      <c r="O20" s="7"/>
      <c r="P20" s="7"/>
      <c r="Q20" s="7"/>
      <c r="R20" s="7"/>
      <c r="S20" s="7"/>
      <c r="T20" s="7"/>
      <c r="U20" s="7"/>
      <c r="V20" s="7"/>
      <c r="W20" s="7"/>
      <c r="X20" s="7"/>
      <c r="Y20" s="7"/>
      <c r="Z20" s="6"/>
    </row>
    <row r="21" spans="1:26" ht="12" x14ac:dyDescent="0.15">
      <c r="A21" s="18" t="s">
        <v>539</v>
      </c>
      <c r="B21" s="81">
        <f>295892.64/10000</f>
        <v>29.589264</v>
      </c>
      <c r="C21" s="664">
        <f t="shared" si="2"/>
        <v>1.7042024423519675E-3</v>
      </c>
      <c r="D21" s="24">
        <f>304861.07/10000</f>
        <v>30.486107000000001</v>
      </c>
      <c r="E21" s="664">
        <f t="shared" si="0"/>
        <v>1.4879430592672634E-3</v>
      </c>
      <c r="F21" s="82">
        <f>315179.01/10000</f>
        <v>31.517901000000002</v>
      </c>
      <c r="G21" s="666">
        <f t="shared" si="1"/>
        <v>1.3649585168932566E-3</v>
      </c>
      <c r="H21" s="7"/>
      <c r="I21" s="7"/>
      <c r="J21" s="7"/>
      <c r="K21" s="7"/>
      <c r="L21" s="7"/>
      <c r="M21" s="7"/>
      <c r="N21" s="7"/>
      <c r="O21" s="7"/>
      <c r="P21" s="7"/>
      <c r="Q21" s="7"/>
      <c r="R21" s="7"/>
      <c r="S21" s="7"/>
      <c r="T21" s="7"/>
      <c r="U21" s="7"/>
      <c r="V21" s="7"/>
      <c r="W21" s="7"/>
      <c r="X21" s="7"/>
      <c r="Y21" s="7"/>
      <c r="Z21" s="6"/>
    </row>
    <row r="22" spans="1:26" ht="12" x14ac:dyDescent="0.15">
      <c r="A22" s="18" t="s">
        <v>540</v>
      </c>
      <c r="B22" s="81">
        <f>3526236/10000</f>
        <v>352.62360000000001</v>
      </c>
      <c r="C22" s="664">
        <f t="shared" si="2"/>
        <v>2.0309460902810671E-2</v>
      </c>
      <c r="D22" s="24">
        <f>4984608/10000</f>
        <v>498.46080000000001</v>
      </c>
      <c r="E22" s="664">
        <f t="shared" si="0"/>
        <v>2.4328501099756934E-2</v>
      </c>
      <c r="F22" s="82">
        <f>5414670/10000</f>
        <v>541.46699999999998</v>
      </c>
      <c r="G22" s="666">
        <f t="shared" si="1"/>
        <v>2.3449530895684991E-2</v>
      </c>
      <c r="H22" s="7"/>
      <c r="I22" s="7"/>
      <c r="J22" s="7"/>
      <c r="K22" s="7"/>
      <c r="L22" s="7"/>
      <c r="M22" s="7"/>
      <c r="N22" s="7"/>
      <c r="O22" s="7"/>
      <c r="P22" s="7"/>
      <c r="Q22" s="7"/>
      <c r="R22" s="7"/>
      <c r="S22" s="7"/>
      <c r="T22" s="7"/>
      <c r="U22" s="7"/>
      <c r="V22" s="7"/>
      <c r="W22" s="7"/>
      <c r="X22" s="7"/>
      <c r="Y22" s="7"/>
      <c r="Z22" s="6"/>
    </row>
    <row r="23" spans="1:26" ht="12" x14ac:dyDescent="0.15">
      <c r="A23" s="18" t="s">
        <v>541</v>
      </c>
      <c r="B23" s="81">
        <f>1154542.65/10000</f>
        <v>115.45426499999999</v>
      </c>
      <c r="C23" s="664">
        <f t="shared" si="2"/>
        <v>6.6496226601969978E-3</v>
      </c>
      <c r="D23" s="24">
        <f>1671285.29/10000</f>
        <v>167.12852900000001</v>
      </c>
      <c r="E23" s="664">
        <f t="shared" si="0"/>
        <v>8.1570839704491489E-3</v>
      </c>
      <c r="F23" s="82">
        <f>2165863.79/10000</f>
        <v>216.58637899999999</v>
      </c>
      <c r="G23" s="666">
        <f t="shared" si="1"/>
        <v>9.3797941258563118E-3</v>
      </c>
      <c r="H23" s="7"/>
      <c r="I23" s="7"/>
      <c r="J23" s="7"/>
      <c r="K23" s="7"/>
      <c r="L23" s="7"/>
      <c r="M23" s="7"/>
      <c r="N23" s="7"/>
      <c r="O23" s="7"/>
      <c r="P23" s="7"/>
      <c r="Q23" s="7"/>
      <c r="R23" s="7"/>
      <c r="S23" s="7"/>
      <c r="T23" s="7"/>
      <c r="U23" s="7"/>
      <c r="V23" s="7"/>
      <c r="W23" s="7"/>
      <c r="X23" s="7"/>
      <c r="Y23" s="7"/>
      <c r="Z23" s="6"/>
    </row>
    <row r="24" spans="1:26" ht="12" x14ac:dyDescent="0.15">
      <c r="A24" s="18" t="s">
        <v>542</v>
      </c>
      <c r="B24" s="81">
        <v>0</v>
      </c>
      <c r="C24" s="664">
        <f t="shared" si="2"/>
        <v>0</v>
      </c>
      <c r="D24" s="24"/>
      <c r="E24" s="664">
        <f t="shared" si="0"/>
        <v>0</v>
      </c>
      <c r="F24" s="82"/>
      <c r="G24" s="666">
        <f t="shared" si="1"/>
        <v>0</v>
      </c>
      <c r="H24" s="7"/>
      <c r="I24" s="7"/>
      <c r="J24" s="7"/>
      <c r="K24" s="7"/>
      <c r="L24" s="7"/>
      <c r="M24" s="7"/>
      <c r="N24" s="7"/>
      <c r="O24" s="7"/>
      <c r="P24" s="7"/>
      <c r="Q24" s="7"/>
      <c r="R24" s="7"/>
      <c r="S24" s="7"/>
      <c r="T24" s="7"/>
      <c r="U24" s="7"/>
      <c r="V24" s="7"/>
      <c r="W24" s="7"/>
      <c r="X24" s="7"/>
      <c r="Y24" s="7"/>
      <c r="Z24" s="6"/>
    </row>
    <row r="25" spans="1:26" ht="12" x14ac:dyDescent="0.15">
      <c r="A25" s="18" t="s">
        <v>543</v>
      </c>
      <c r="B25" s="81">
        <f>2834878.03/10000</f>
        <v>283.48780299999999</v>
      </c>
      <c r="C25" s="664">
        <f t="shared" si="2"/>
        <v>1.6327564154674255E-2</v>
      </c>
      <c r="D25" s="24">
        <f>(2351697.38+21000)/10000</f>
        <v>237.26973799999999</v>
      </c>
      <c r="E25" s="664">
        <f t="shared" si="0"/>
        <v>1.1580483524225053E-2</v>
      </c>
      <c r="F25" s="82">
        <f>(2972427.23+556729.72)/10000</f>
        <v>352.91569500000003</v>
      </c>
      <c r="G25" s="666">
        <f t="shared" si="1"/>
        <v>1.5283863085792194E-2</v>
      </c>
      <c r="H25" s="7"/>
      <c r="I25" s="7"/>
      <c r="J25" s="7"/>
      <c r="K25" s="7"/>
      <c r="L25" s="7"/>
      <c r="M25" s="7"/>
      <c r="N25" s="7"/>
      <c r="O25" s="7"/>
      <c r="P25" s="7"/>
      <c r="Q25" s="7"/>
      <c r="R25" s="7"/>
      <c r="S25" s="7"/>
      <c r="T25" s="7"/>
      <c r="U25" s="7"/>
      <c r="V25" s="7"/>
      <c r="W25" s="7"/>
      <c r="X25" s="7"/>
      <c r="Y25" s="7"/>
      <c r="Z25" s="6"/>
    </row>
    <row r="26" spans="1:26" ht="12" x14ac:dyDescent="0.15">
      <c r="A26" s="18" t="s">
        <v>544</v>
      </c>
      <c r="B26" s="81">
        <f>398790.5/10000</f>
        <v>39.879049999999999</v>
      </c>
      <c r="C26" s="664">
        <f t="shared" si="2"/>
        <v>2.2968457210924961E-3</v>
      </c>
      <c r="D26" s="24">
        <f>96049/10000</f>
        <v>9.6049000000000007</v>
      </c>
      <c r="E26" s="664">
        <f t="shared" si="0"/>
        <v>4.6878875974410702E-4</v>
      </c>
      <c r="F26" s="82">
        <f>263179.39/10000</f>
        <v>26.317939000000003</v>
      </c>
      <c r="G26" s="666">
        <f t="shared" si="1"/>
        <v>1.1397616543413597E-3</v>
      </c>
      <c r="H26" s="7"/>
      <c r="I26" s="7"/>
      <c r="J26" s="7"/>
      <c r="K26" s="7"/>
      <c r="L26" s="7"/>
      <c r="M26" s="7"/>
      <c r="N26" s="7"/>
      <c r="O26" s="7"/>
      <c r="P26" s="7"/>
      <c r="Q26" s="7"/>
      <c r="R26" s="7"/>
      <c r="S26" s="7"/>
      <c r="T26" s="7"/>
      <c r="U26" s="7"/>
      <c r="V26" s="7"/>
      <c r="W26" s="7"/>
      <c r="X26" s="7"/>
      <c r="Y26" s="7"/>
      <c r="Z26" s="6"/>
    </row>
    <row r="27" spans="1:26" ht="12" x14ac:dyDescent="0.15">
      <c r="A27" s="18" t="s">
        <v>545</v>
      </c>
      <c r="B27" s="81">
        <f>1612386.82/10000</f>
        <v>161.23868200000001</v>
      </c>
      <c r="C27" s="664">
        <f t="shared" si="2"/>
        <v>9.2865897464030275E-3</v>
      </c>
      <c r="D27" s="24">
        <f>2855791.9/10000</f>
        <v>285.57918999999998</v>
      </c>
      <c r="E27" s="664">
        <f t="shared" si="0"/>
        <v>1.3938335046572757E-2</v>
      </c>
      <c r="F27" s="82">
        <f>2886459.04/10000</f>
        <v>288.64590400000003</v>
      </c>
      <c r="G27" s="666">
        <f t="shared" si="1"/>
        <v>1.2500505190087162E-2</v>
      </c>
      <c r="H27" s="7"/>
      <c r="I27" s="7"/>
      <c r="J27" s="7"/>
      <c r="K27" s="7"/>
      <c r="L27" s="7"/>
      <c r="M27" s="7"/>
      <c r="N27" s="7"/>
      <c r="O27" s="7"/>
      <c r="P27" s="7"/>
      <c r="Q27" s="7"/>
      <c r="R27" s="7"/>
      <c r="S27" s="7"/>
      <c r="T27" s="7"/>
      <c r="U27" s="7"/>
      <c r="V27" s="7"/>
      <c r="W27" s="7"/>
      <c r="X27" s="7"/>
      <c r="Y27" s="7"/>
      <c r="Z27" s="6"/>
    </row>
    <row r="28" spans="1:26" ht="12" x14ac:dyDescent="0.15">
      <c r="A28" s="18" t="s">
        <v>546</v>
      </c>
      <c r="B28" s="81">
        <f>958218.31/10000</f>
        <v>95.821831000000003</v>
      </c>
      <c r="C28" s="664">
        <f t="shared" si="2"/>
        <v>5.5188867969422108E-3</v>
      </c>
      <c r="D28" s="24">
        <f>2911455.29/10000</f>
        <v>291.14552900000001</v>
      </c>
      <c r="E28" s="664">
        <f t="shared" si="0"/>
        <v>1.4210012748175613E-2</v>
      </c>
      <c r="F28" s="82">
        <f>2330405.88/10000</f>
        <v>233.04058799999999</v>
      </c>
      <c r="G28" s="666">
        <f t="shared" si="1"/>
        <v>1.0092383226040733E-2</v>
      </c>
      <c r="H28" s="7"/>
      <c r="I28" s="7"/>
      <c r="J28" s="7"/>
      <c r="K28" s="7"/>
      <c r="L28" s="7"/>
      <c r="M28" s="7"/>
      <c r="N28" s="7"/>
      <c r="O28" s="7"/>
      <c r="P28" s="7"/>
      <c r="Q28" s="7"/>
      <c r="R28" s="7"/>
      <c r="S28" s="7"/>
      <c r="T28" s="7"/>
      <c r="U28" s="7"/>
      <c r="V28" s="7"/>
      <c r="W28" s="7"/>
      <c r="X28" s="7"/>
      <c r="Y28" s="7"/>
      <c r="Z28" s="6"/>
    </row>
    <row r="29" spans="1:26" ht="12" x14ac:dyDescent="0.15">
      <c r="A29" s="18" t="s">
        <v>547</v>
      </c>
      <c r="B29" s="81">
        <f>776954.34/10000</f>
        <v>77.695433999999992</v>
      </c>
      <c r="C29" s="664">
        <f t="shared" si="2"/>
        <v>4.4748915817032853E-3</v>
      </c>
      <c r="D29" s="24">
        <f>375326.1/10000</f>
        <v>37.532609999999998</v>
      </c>
      <c r="E29" s="664">
        <f t="shared" si="0"/>
        <v>1.8318634959093034E-3</v>
      </c>
      <c r="F29" s="82">
        <f>462303.08/10000</f>
        <v>46.230308000000001</v>
      </c>
      <c r="G29" s="666">
        <f t="shared" si="1"/>
        <v>2.0021146916857965E-3</v>
      </c>
      <c r="H29" s="7"/>
      <c r="I29" s="7"/>
      <c r="J29" s="7"/>
      <c r="K29" s="7"/>
      <c r="L29" s="7"/>
      <c r="M29" s="7"/>
      <c r="N29" s="7"/>
      <c r="O29" s="7"/>
      <c r="P29" s="7"/>
      <c r="Q29" s="7"/>
      <c r="R29" s="7"/>
      <c r="S29" s="7"/>
      <c r="T29" s="7"/>
      <c r="U29" s="7"/>
      <c r="V29" s="7"/>
      <c r="W29" s="7"/>
      <c r="X29" s="7"/>
      <c r="Y29" s="7"/>
      <c r="Z29" s="6"/>
    </row>
    <row r="30" spans="1:26" ht="12" x14ac:dyDescent="0.15">
      <c r="A30" s="18" t="s">
        <v>548</v>
      </c>
      <c r="B30" s="81">
        <v>0</v>
      </c>
      <c r="C30" s="664">
        <f t="shared" si="2"/>
        <v>0</v>
      </c>
      <c r="D30" s="24"/>
      <c r="E30" s="664">
        <f t="shared" si="0"/>
        <v>0</v>
      </c>
      <c r="F30" s="82"/>
      <c r="G30" s="666">
        <f t="shared" si="1"/>
        <v>0</v>
      </c>
      <c r="H30" s="7"/>
      <c r="I30" s="7"/>
      <c r="J30" s="7"/>
      <c r="K30" s="7"/>
      <c r="L30" s="7"/>
      <c r="M30" s="7"/>
      <c r="N30" s="7"/>
      <c r="O30" s="7"/>
      <c r="P30" s="7"/>
      <c r="Q30" s="7"/>
      <c r="R30" s="7"/>
      <c r="S30" s="7"/>
      <c r="T30" s="7"/>
      <c r="U30" s="7"/>
      <c r="V30" s="7"/>
      <c r="W30" s="7"/>
      <c r="X30" s="7"/>
      <c r="Y30" s="7"/>
      <c r="Z30" s="6"/>
    </row>
    <row r="31" spans="1:26" ht="12" x14ac:dyDescent="0.15">
      <c r="A31" s="18" t="s">
        <v>549</v>
      </c>
      <c r="B31" s="81">
        <f>197833.69/10000</f>
        <v>19.783369</v>
      </c>
      <c r="C31" s="664">
        <f>B31/$B$3</f>
        <v>1.1394290093782056E-3</v>
      </c>
      <c r="D31" s="24"/>
      <c r="E31" s="664">
        <f t="shared" si="0"/>
        <v>0</v>
      </c>
      <c r="F31" s="82"/>
      <c r="G31" s="666">
        <f t="shared" si="1"/>
        <v>0</v>
      </c>
      <c r="H31" s="7"/>
      <c r="I31" s="7"/>
      <c r="J31" s="7"/>
      <c r="K31" s="7"/>
      <c r="L31" s="7"/>
      <c r="M31" s="7"/>
      <c r="N31" s="7"/>
      <c r="O31" s="7"/>
      <c r="P31" s="7"/>
      <c r="Q31" s="7"/>
      <c r="R31" s="7"/>
      <c r="S31" s="7"/>
      <c r="T31" s="7"/>
      <c r="U31" s="7"/>
      <c r="V31" s="7"/>
      <c r="W31" s="7"/>
      <c r="X31" s="7"/>
      <c r="Y31" s="7"/>
      <c r="Z31" s="6"/>
    </row>
    <row r="32" spans="1:26" ht="12" x14ac:dyDescent="0.15">
      <c r="A32" s="18" t="s">
        <v>550</v>
      </c>
      <c r="B32" s="81">
        <v>0</v>
      </c>
      <c r="C32" s="664">
        <f t="shared" si="2"/>
        <v>0</v>
      </c>
      <c r="D32" s="24"/>
      <c r="E32" s="664">
        <f t="shared" si="0"/>
        <v>0</v>
      </c>
      <c r="F32" s="82"/>
      <c r="G32" s="666">
        <f t="shared" si="1"/>
        <v>0</v>
      </c>
      <c r="H32" s="7"/>
      <c r="I32" s="7"/>
      <c r="J32" s="7"/>
      <c r="K32" s="7"/>
      <c r="L32" s="7"/>
      <c r="M32" s="7"/>
      <c r="N32" s="7"/>
      <c r="O32" s="7"/>
      <c r="P32" s="7"/>
      <c r="Q32" s="7"/>
      <c r="R32" s="7"/>
      <c r="S32" s="7"/>
      <c r="T32" s="7"/>
      <c r="U32" s="7"/>
      <c r="V32" s="7"/>
      <c r="W32" s="7"/>
      <c r="X32" s="7"/>
      <c r="Y32" s="7"/>
      <c r="Z32" s="6"/>
    </row>
    <row r="33" spans="1:26" ht="12" x14ac:dyDescent="0.15">
      <c r="A33" s="18" t="s">
        <v>551</v>
      </c>
      <c r="B33" s="81">
        <v>0</v>
      </c>
      <c r="C33" s="664">
        <f t="shared" si="2"/>
        <v>0</v>
      </c>
      <c r="D33" s="24"/>
      <c r="E33" s="664">
        <f t="shared" si="0"/>
        <v>0</v>
      </c>
      <c r="F33" s="82"/>
      <c r="G33" s="666">
        <f t="shared" si="1"/>
        <v>0</v>
      </c>
      <c r="H33" s="7"/>
      <c r="I33" s="7"/>
      <c r="J33" s="7"/>
      <c r="K33" s="7"/>
      <c r="L33" s="7"/>
      <c r="M33" s="7"/>
      <c r="N33" s="7"/>
      <c r="O33" s="7"/>
      <c r="P33" s="7"/>
      <c r="Q33" s="7"/>
      <c r="R33" s="7"/>
      <c r="S33" s="7"/>
      <c r="T33" s="7"/>
      <c r="U33" s="7"/>
      <c r="V33" s="7"/>
      <c r="W33" s="7"/>
      <c r="X33" s="7"/>
      <c r="Y33" s="7"/>
      <c r="Z33" s="6"/>
    </row>
    <row r="34" spans="1:26" ht="12" x14ac:dyDescent="0.15">
      <c r="A34" s="18" t="s">
        <v>552</v>
      </c>
      <c r="B34" s="81">
        <v>0</v>
      </c>
      <c r="C34" s="664">
        <f t="shared" si="2"/>
        <v>0</v>
      </c>
      <c r="D34" s="24">
        <f>300000/10000</f>
        <v>30</v>
      </c>
      <c r="E34" s="664">
        <f t="shared" si="0"/>
        <v>1.4642175131779833E-3</v>
      </c>
      <c r="F34" s="82">
        <f>260000/10000</f>
        <v>26</v>
      </c>
      <c r="G34" s="666">
        <f t="shared" si="1"/>
        <v>1.1259925411665158E-3</v>
      </c>
      <c r="H34" s="7"/>
      <c r="I34" s="7"/>
      <c r="J34" s="7"/>
      <c r="K34" s="7"/>
      <c r="L34" s="7"/>
      <c r="M34" s="7"/>
      <c r="N34" s="7"/>
      <c r="O34" s="7"/>
      <c r="P34" s="7"/>
      <c r="Q34" s="7"/>
      <c r="R34" s="7"/>
      <c r="S34" s="7"/>
      <c r="T34" s="7"/>
      <c r="U34" s="7"/>
      <c r="V34" s="7"/>
      <c r="W34" s="7"/>
      <c r="X34" s="7"/>
      <c r="Y34" s="7"/>
      <c r="Z34" s="6"/>
    </row>
    <row r="35" spans="1:26" ht="12" x14ac:dyDescent="0.15">
      <c r="A35" s="18" t="s">
        <v>330</v>
      </c>
      <c r="B35" s="81">
        <f>2132876/10000</f>
        <v>213.2876</v>
      </c>
      <c r="C35" s="664">
        <f t="shared" si="2"/>
        <v>1.2284362627045724E-2</v>
      </c>
      <c r="D35" s="24">
        <f>1735534.96/10000</f>
        <v>173.553496</v>
      </c>
      <c r="E35" s="664">
        <f t="shared" si="0"/>
        <v>8.4706689438821675E-3</v>
      </c>
      <c r="F35" s="82">
        <f>2028596/10000</f>
        <v>202.8596</v>
      </c>
      <c r="G35" s="666">
        <f t="shared" si="1"/>
        <v>8.7853229424624205E-3</v>
      </c>
      <c r="H35" s="7"/>
      <c r="I35" s="7"/>
      <c r="J35" s="7"/>
      <c r="K35" s="7"/>
      <c r="L35" s="7"/>
      <c r="M35" s="7"/>
      <c r="N35" s="7"/>
      <c r="O35" s="7"/>
      <c r="P35" s="7"/>
      <c r="Q35" s="7"/>
      <c r="R35" s="7"/>
      <c r="S35" s="7"/>
      <c r="T35" s="7"/>
      <c r="U35" s="7"/>
      <c r="V35" s="7"/>
      <c r="W35" s="7"/>
      <c r="X35" s="7"/>
      <c r="Y35" s="7"/>
      <c r="Z35" s="6"/>
    </row>
    <row r="36" spans="1:26" ht="12" x14ac:dyDescent="0.15">
      <c r="A36" s="18" t="s">
        <v>553</v>
      </c>
      <c r="B36" s="89">
        <f>22668670/10000</f>
        <v>2266.8670000000002</v>
      </c>
      <c r="C36" s="664">
        <f t="shared" si="2"/>
        <v>0.13056087768479399</v>
      </c>
      <c r="D36" s="90">
        <f>16274857.22/10000</f>
        <v>1627.4857220000001</v>
      </c>
      <c r="E36" s="664">
        <f t="shared" si="0"/>
        <v>7.9433103219983814E-2</v>
      </c>
      <c r="F36" s="82">
        <f>16665903.37/10000</f>
        <v>1666.5903369999999</v>
      </c>
      <c r="G36" s="666">
        <f t="shared" si="1"/>
        <v>7.2175703409314992E-2</v>
      </c>
      <c r="H36" s="7"/>
      <c r="I36" s="7"/>
      <c r="J36" s="7"/>
      <c r="K36" s="7"/>
      <c r="L36" s="7"/>
      <c r="M36" s="7"/>
      <c r="N36" s="7"/>
      <c r="O36" s="7"/>
      <c r="P36" s="7"/>
      <c r="Q36" s="7"/>
      <c r="R36" s="7"/>
      <c r="S36" s="7"/>
      <c r="T36" s="7"/>
      <c r="U36" s="7"/>
      <c r="V36" s="7"/>
      <c r="W36" s="7"/>
      <c r="X36" s="7"/>
      <c r="Y36" s="7"/>
      <c r="Z36" s="6"/>
    </row>
    <row r="37" spans="1:26" ht="12" x14ac:dyDescent="0.15">
      <c r="A37" s="18" t="s">
        <v>554</v>
      </c>
      <c r="B37" s="89">
        <f>3013708/10000</f>
        <v>301.37079999999997</v>
      </c>
      <c r="C37" s="664">
        <f t="shared" si="2"/>
        <v>1.7357540674670591E-2</v>
      </c>
      <c r="D37" s="89">
        <f>3591015/10000</f>
        <v>359.10149999999999</v>
      </c>
      <c r="E37" s="664">
        <f t="shared" si="0"/>
        <v>1.7526756843616115E-2</v>
      </c>
      <c r="F37" s="91">
        <v>0</v>
      </c>
      <c r="G37" s="666">
        <f t="shared" si="1"/>
        <v>0</v>
      </c>
      <c r="H37" s="7"/>
      <c r="I37" s="7"/>
      <c r="J37" s="7"/>
      <c r="K37" s="7"/>
      <c r="L37" s="7"/>
      <c r="M37" s="7"/>
      <c r="N37" s="7"/>
      <c r="O37" s="7"/>
      <c r="P37" s="7"/>
      <c r="Q37" s="7"/>
      <c r="R37" s="7"/>
      <c r="S37" s="7"/>
      <c r="T37" s="7"/>
      <c r="U37" s="7"/>
      <c r="V37" s="7"/>
      <c r="W37" s="7"/>
      <c r="X37" s="7"/>
      <c r="Y37" s="7"/>
      <c r="Z37" s="6"/>
    </row>
    <row r="38" spans="1:26" ht="12" x14ac:dyDescent="0.15">
      <c r="A38" s="83" t="s">
        <v>555</v>
      </c>
      <c r="B38" s="84">
        <f>SUM(B18:B36)</f>
        <v>4428.6009960000001</v>
      </c>
      <c r="C38" s="664">
        <f t="shared" si="2"/>
        <v>0.25506658880009847</v>
      </c>
      <c r="D38" s="86">
        <f>SUM(D18:D36)</f>
        <v>4400.3645100000003</v>
      </c>
      <c r="E38" s="664">
        <f t="shared" si="0"/>
        <v>0.2147696926636285</v>
      </c>
      <c r="F38" s="92">
        <f>SUM(F18:F36)</f>
        <v>4659.6375519999992</v>
      </c>
      <c r="G38" s="666">
        <f t="shared" si="1"/>
        <v>0.20179681261890009</v>
      </c>
      <c r="H38" s="7"/>
      <c r="I38" s="7"/>
      <c r="J38" s="7"/>
      <c r="K38" s="7"/>
      <c r="L38" s="7"/>
      <c r="M38" s="7"/>
      <c r="N38" s="7"/>
      <c r="O38" s="7"/>
      <c r="P38" s="7"/>
      <c r="Q38" s="7"/>
      <c r="R38" s="7"/>
      <c r="S38" s="7"/>
      <c r="T38" s="7"/>
      <c r="U38" s="7"/>
      <c r="V38" s="7"/>
      <c r="W38" s="7"/>
      <c r="X38" s="7"/>
      <c r="Y38" s="7"/>
      <c r="Z38" s="6"/>
    </row>
    <row r="39" spans="1:26" ht="12" x14ac:dyDescent="0.15">
      <c r="A39" s="18" t="s">
        <v>556</v>
      </c>
      <c r="B39" s="81">
        <f>3897279.83/10000</f>
        <v>389.72798299999999</v>
      </c>
      <c r="C39" s="664">
        <f t="shared" si="2"/>
        <v>2.2446498854500271E-2</v>
      </c>
      <c r="D39" s="24">
        <f>7583953.07/10000</f>
        <v>758.395307</v>
      </c>
      <c r="E39" s="664">
        <f t="shared" si="0"/>
        <v>3.7015189680713101E-2</v>
      </c>
      <c r="F39" s="82">
        <f>7127673.74/10000</f>
        <v>712.76737400000002</v>
      </c>
      <c r="G39" s="666">
        <f t="shared" si="1"/>
        <v>3.0868105642724786E-2</v>
      </c>
      <c r="H39" s="7"/>
      <c r="I39" s="7"/>
      <c r="J39" s="7"/>
      <c r="K39" s="7"/>
      <c r="L39" s="7"/>
      <c r="M39" s="7"/>
      <c r="N39" s="7"/>
      <c r="O39" s="7"/>
      <c r="P39" s="7"/>
      <c r="Q39" s="7"/>
      <c r="R39" s="7"/>
      <c r="S39" s="7"/>
      <c r="T39" s="7"/>
      <c r="U39" s="7"/>
      <c r="V39" s="7"/>
      <c r="W39" s="7"/>
      <c r="X39" s="7"/>
      <c r="Y39" s="7"/>
      <c r="Z39" s="6"/>
    </row>
    <row r="40" spans="1:26" ht="12" x14ac:dyDescent="0.15">
      <c r="A40" s="18" t="s">
        <v>557</v>
      </c>
      <c r="B40" s="81">
        <f>1314500/10000</f>
        <v>131.44999999999999</v>
      </c>
      <c r="C40" s="664">
        <f t="shared" si="2"/>
        <v>7.5709017651525946E-3</v>
      </c>
      <c r="D40" s="24">
        <f>(1787992.5+66700)/10000</f>
        <v>185.46924999999999</v>
      </c>
      <c r="E40" s="664">
        <f t="shared" si="0"/>
        <v>9.0522441335328541E-3</v>
      </c>
      <c r="F40" s="82">
        <f>2069034/10000</f>
        <v>206.9034</v>
      </c>
      <c r="G40" s="666">
        <f t="shared" si="1"/>
        <v>8.9604494285381569E-3</v>
      </c>
      <c r="H40" s="7"/>
      <c r="I40" s="7"/>
      <c r="J40" s="7"/>
      <c r="K40" s="7"/>
      <c r="L40" s="7"/>
      <c r="M40" s="7"/>
      <c r="N40" s="7"/>
      <c r="O40" s="7"/>
      <c r="P40" s="7"/>
      <c r="Q40" s="7"/>
      <c r="R40" s="7"/>
      <c r="S40" s="7"/>
      <c r="T40" s="7"/>
      <c r="U40" s="7"/>
      <c r="V40" s="7"/>
      <c r="W40" s="7"/>
      <c r="X40" s="7"/>
      <c r="Y40" s="7"/>
      <c r="Z40" s="6"/>
    </row>
    <row r="41" spans="1:26" ht="12" x14ac:dyDescent="0.15">
      <c r="A41" s="18" t="s">
        <v>558</v>
      </c>
      <c r="B41" s="81">
        <f>783215/10000</f>
        <v>78.3215</v>
      </c>
      <c r="C41" s="664">
        <f t="shared" si="2"/>
        <v>4.5109500387934499E-3</v>
      </c>
      <c r="D41" s="24">
        <f>13117224.08/10000</f>
        <v>1311.7224080000001</v>
      </c>
      <c r="E41" s="664">
        <f t="shared" si="0"/>
        <v>6.4021564074053197E-2</v>
      </c>
      <c r="F41" s="82">
        <f>30111052.49/10000</f>
        <v>3011.1052489999997</v>
      </c>
      <c r="G41" s="666">
        <f t="shared" si="1"/>
        <v>0.13040315580928247</v>
      </c>
      <c r="H41" s="7"/>
      <c r="I41" s="7"/>
      <c r="J41" s="7"/>
      <c r="K41" s="7"/>
      <c r="L41" s="7"/>
      <c r="M41" s="7"/>
      <c r="N41" s="7"/>
      <c r="O41" s="7"/>
      <c r="P41" s="7"/>
      <c r="Q41" s="7"/>
      <c r="R41" s="7"/>
      <c r="S41" s="7"/>
      <c r="T41" s="7"/>
      <c r="U41" s="7"/>
      <c r="V41" s="7"/>
      <c r="W41" s="7"/>
      <c r="X41" s="7"/>
      <c r="Y41" s="7"/>
      <c r="Z41" s="6"/>
    </row>
    <row r="42" spans="1:26" ht="12" x14ac:dyDescent="0.15">
      <c r="A42" s="18" t="s">
        <v>559</v>
      </c>
      <c r="B42" s="81">
        <f>857100/10000</f>
        <v>85.71</v>
      </c>
      <c r="C42" s="664">
        <f t="shared" si="2"/>
        <v>4.9364928892447991E-3</v>
      </c>
      <c r="D42" s="24">
        <f>1134020/10000</f>
        <v>113.402</v>
      </c>
      <c r="E42" s="664">
        <f t="shared" si="0"/>
        <v>5.5348398143136553E-3</v>
      </c>
      <c r="F42" s="82">
        <f>1151663/10000</f>
        <v>115.16630000000001</v>
      </c>
      <c r="G42" s="666">
        <f t="shared" si="1"/>
        <v>4.9875536459132817E-3</v>
      </c>
      <c r="H42" s="7"/>
      <c r="I42" s="7"/>
      <c r="J42" s="7"/>
      <c r="K42" s="7"/>
      <c r="L42" s="7"/>
      <c r="M42" s="7"/>
      <c r="N42" s="7"/>
      <c r="O42" s="7"/>
      <c r="P42" s="7"/>
      <c r="Q42" s="7"/>
      <c r="R42" s="7"/>
      <c r="S42" s="7"/>
      <c r="T42" s="7"/>
      <c r="U42" s="7"/>
      <c r="V42" s="7"/>
      <c r="W42" s="7"/>
      <c r="X42" s="7"/>
      <c r="Y42" s="7"/>
      <c r="Z42" s="6"/>
    </row>
    <row r="43" spans="1:26" ht="12" x14ac:dyDescent="0.15">
      <c r="A43" s="18" t="s">
        <v>560</v>
      </c>
      <c r="B43" s="81">
        <f>3530075/10000</f>
        <v>353.00749999999999</v>
      </c>
      <c r="C43" s="664">
        <f t="shared" si="2"/>
        <v>2.0331571737254504E-2</v>
      </c>
      <c r="D43" s="24"/>
      <c r="E43" s="664">
        <f t="shared" si="0"/>
        <v>0</v>
      </c>
      <c r="F43" s="82"/>
      <c r="G43" s="666">
        <f t="shared" si="1"/>
        <v>0</v>
      </c>
      <c r="H43" s="7"/>
      <c r="I43" s="7"/>
      <c r="J43" s="7"/>
      <c r="K43" s="7"/>
      <c r="L43" s="7"/>
      <c r="M43" s="7"/>
      <c r="N43" s="7"/>
      <c r="O43" s="7"/>
      <c r="P43" s="7"/>
      <c r="Q43" s="7"/>
      <c r="R43" s="7"/>
      <c r="S43" s="7"/>
      <c r="T43" s="7"/>
      <c r="U43" s="7"/>
      <c r="V43" s="7"/>
      <c r="W43" s="7"/>
      <c r="X43" s="7"/>
      <c r="Y43" s="7"/>
      <c r="Z43" s="6"/>
    </row>
    <row r="44" spans="1:26" ht="12" x14ac:dyDescent="0.15">
      <c r="A44" s="18" t="s">
        <v>561</v>
      </c>
      <c r="B44" s="81">
        <v>0</v>
      </c>
      <c r="C44" s="664">
        <f t="shared" si="2"/>
        <v>0</v>
      </c>
      <c r="D44" s="24">
        <f>(4691191.74+3527859)/10000</f>
        <v>821.90507400000001</v>
      </c>
      <c r="E44" s="664">
        <f t="shared" si="0"/>
        <v>4.0114926784021544E-2</v>
      </c>
      <c r="F44" s="82">
        <f>(3000000+3185211)/10000</f>
        <v>618.52110000000005</v>
      </c>
      <c r="G44" s="666">
        <f t="shared" si="1"/>
        <v>2.6786544044388797E-2</v>
      </c>
      <c r="H44" s="7"/>
      <c r="I44" s="7"/>
      <c r="J44" s="7"/>
      <c r="K44" s="7"/>
      <c r="L44" s="7"/>
      <c r="M44" s="7"/>
      <c r="N44" s="7"/>
      <c r="O44" s="7"/>
      <c r="P44" s="7"/>
      <c r="Q44" s="7"/>
      <c r="R44" s="7"/>
      <c r="S44" s="7"/>
      <c r="T44" s="7"/>
      <c r="U44" s="7"/>
      <c r="V44" s="7"/>
      <c r="W44" s="7"/>
      <c r="X44" s="7"/>
      <c r="Y44" s="7"/>
      <c r="Z44" s="6"/>
    </row>
    <row r="45" spans="1:26" ht="12" x14ac:dyDescent="0.15">
      <c r="A45" s="18" t="s">
        <v>562</v>
      </c>
      <c r="B45" s="81">
        <v>0</v>
      </c>
      <c r="C45" s="664">
        <f t="shared" si="2"/>
        <v>0</v>
      </c>
      <c r="D45" s="24">
        <f>11708495.79/10000</f>
        <v>1170.8495789999999</v>
      </c>
      <c r="E45" s="664">
        <f t="shared" si="0"/>
        <v>5.714594862896228E-2</v>
      </c>
      <c r="F45" s="82">
        <f>7684385/10000</f>
        <v>768.43849999999998</v>
      </c>
      <c r="G45" s="666">
        <f t="shared" si="1"/>
        <v>3.3279077667122528E-2</v>
      </c>
      <c r="H45" s="7"/>
      <c r="I45" s="7"/>
      <c r="J45" s="7"/>
      <c r="K45" s="7"/>
      <c r="L45" s="7"/>
      <c r="M45" s="7"/>
      <c r="N45" s="7"/>
      <c r="O45" s="7"/>
      <c r="P45" s="7"/>
      <c r="Q45" s="7"/>
      <c r="R45" s="7"/>
      <c r="S45" s="7"/>
      <c r="T45" s="7"/>
      <c r="U45" s="7"/>
      <c r="V45" s="7"/>
      <c r="W45" s="7"/>
      <c r="X45" s="7"/>
      <c r="Y45" s="7"/>
      <c r="Z45" s="6"/>
    </row>
    <row r="46" spans="1:26" ht="12" x14ac:dyDescent="0.15">
      <c r="A46" s="18" t="s">
        <v>563</v>
      </c>
      <c r="B46" s="81">
        <v>0</v>
      </c>
      <c r="C46" s="664">
        <f t="shared" si="2"/>
        <v>0</v>
      </c>
      <c r="D46" s="24">
        <f>(904775.41+607320)/10000</f>
        <v>151.209541</v>
      </c>
      <c r="E46" s="664">
        <f t="shared" si="0"/>
        <v>7.3801219363934766E-3</v>
      </c>
      <c r="F46" s="82"/>
      <c r="G46" s="666">
        <f t="shared" si="1"/>
        <v>0</v>
      </c>
      <c r="H46" s="7"/>
      <c r="I46" s="7"/>
      <c r="J46" s="7"/>
      <c r="K46" s="7"/>
      <c r="L46" s="7"/>
      <c r="M46" s="7"/>
      <c r="N46" s="7"/>
      <c r="O46" s="7"/>
      <c r="P46" s="7"/>
      <c r="Q46" s="7"/>
      <c r="R46" s="7"/>
      <c r="S46" s="7"/>
      <c r="T46" s="7"/>
      <c r="U46" s="7"/>
      <c r="V46" s="7"/>
      <c r="W46" s="7"/>
      <c r="X46" s="7"/>
      <c r="Y46" s="7"/>
      <c r="Z46" s="6"/>
    </row>
    <row r="47" spans="1:26" ht="12" x14ac:dyDescent="0.15">
      <c r="A47" s="18" t="s">
        <v>564</v>
      </c>
      <c r="B47" s="81"/>
      <c r="C47" s="664">
        <f t="shared" si="2"/>
        <v>0</v>
      </c>
      <c r="D47" s="24">
        <f>(3169869.68+7798121)/10000</f>
        <v>1096.799068</v>
      </c>
      <c r="E47" s="664">
        <f t="shared" si="0"/>
        <v>5.3531746793429653E-2</v>
      </c>
      <c r="F47" s="82">
        <f>13871688.01/10000</f>
        <v>1387.168801</v>
      </c>
      <c r="G47" s="666">
        <f t="shared" si="1"/>
        <v>6.0074681664034575E-2</v>
      </c>
      <c r="H47" s="7"/>
      <c r="I47" s="7"/>
      <c r="J47" s="7"/>
      <c r="K47" s="7"/>
      <c r="L47" s="7"/>
      <c r="M47" s="7"/>
      <c r="N47" s="7"/>
      <c r="O47" s="7"/>
      <c r="P47" s="7"/>
      <c r="Q47" s="7"/>
      <c r="R47" s="7"/>
      <c r="S47" s="7"/>
      <c r="T47" s="7"/>
      <c r="U47" s="7"/>
      <c r="V47" s="7"/>
      <c r="W47" s="7"/>
      <c r="X47" s="7"/>
      <c r="Y47" s="7"/>
      <c r="Z47" s="6"/>
    </row>
    <row r="48" spans="1:26" ht="12" x14ac:dyDescent="0.15">
      <c r="A48" s="18" t="s">
        <v>554</v>
      </c>
      <c r="B48" s="81"/>
      <c r="C48" s="664"/>
      <c r="D48" s="24"/>
      <c r="E48" s="664"/>
      <c r="F48" s="82">
        <f>6280000/10000</f>
        <v>628</v>
      </c>
      <c r="G48" s="666"/>
      <c r="H48" s="7"/>
      <c r="I48" s="7"/>
      <c r="J48" s="7"/>
      <c r="K48" s="7"/>
      <c r="L48" s="7"/>
      <c r="M48" s="7"/>
      <c r="N48" s="7"/>
      <c r="O48" s="7"/>
      <c r="P48" s="7"/>
      <c r="Q48" s="7"/>
      <c r="R48" s="7"/>
      <c r="S48" s="7"/>
      <c r="T48" s="7"/>
      <c r="U48" s="7"/>
      <c r="V48" s="7"/>
      <c r="W48" s="7"/>
      <c r="X48" s="7"/>
      <c r="Y48" s="7"/>
      <c r="Z48" s="6"/>
    </row>
    <row r="49" spans="1:26" ht="12" x14ac:dyDescent="0.15">
      <c r="A49" s="30" t="s">
        <v>565</v>
      </c>
      <c r="B49" s="93">
        <f>SUM(B39:B47)</f>
        <v>1038.216983</v>
      </c>
      <c r="C49" s="664">
        <f>B49/$B$3</f>
        <v>5.9796415284945621E-2</v>
      </c>
      <c r="D49" s="84">
        <f>SUM(D39:D47)</f>
        <v>5609.7522269999999</v>
      </c>
      <c r="E49" s="664">
        <f t="shared" si="0"/>
        <v>0.27379658184541977</v>
      </c>
      <c r="F49" s="94">
        <f>SUM(F39:F47)</f>
        <v>6820.0707240000002</v>
      </c>
      <c r="G49" s="666">
        <f t="shared" ref="G49:G57" si="3">F49/$F$3</f>
        <v>0.29535956790200457</v>
      </c>
      <c r="H49" s="7"/>
      <c r="I49" s="7"/>
      <c r="J49" s="7"/>
      <c r="K49" s="7"/>
      <c r="L49" s="7"/>
      <c r="M49" s="7"/>
      <c r="N49" s="7"/>
      <c r="O49" s="7"/>
      <c r="P49" s="7"/>
      <c r="Q49" s="7"/>
      <c r="R49" s="7"/>
      <c r="S49" s="7"/>
      <c r="T49" s="7"/>
      <c r="U49" s="7"/>
      <c r="V49" s="7"/>
      <c r="W49" s="7"/>
      <c r="X49" s="7"/>
      <c r="Y49" s="7"/>
      <c r="Z49" s="6"/>
    </row>
    <row r="50" spans="1:26" ht="12" x14ac:dyDescent="0.15">
      <c r="A50" s="83" t="s">
        <v>566</v>
      </c>
      <c r="B50" s="95">
        <f>41679800/10000</f>
        <v>4167.9799999999996</v>
      </c>
      <c r="C50" s="664">
        <f t="shared" si="2"/>
        <v>0.24005604518159535</v>
      </c>
      <c r="D50" s="24"/>
      <c r="E50" s="664">
        <f t="shared" si="0"/>
        <v>0</v>
      </c>
      <c r="F50" s="82"/>
      <c r="G50" s="666">
        <f t="shared" si="3"/>
        <v>0</v>
      </c>
      <c r="H50" s="7"/>
      <c r="I50" s="7"/>
      <c r="J50" s="7"/>
      <c r="K50" s="7"/>
      <c r="L50" s="7"/>
      <c r="M50" s="7"/>
      <c r="N50" s="7"/>
      <c r="O50" s="7"/>
      <c r="P50" s="7"/>
      <c r="Q50" s="7"/>
      <c r="R50" s="7"/>
      <c r="S50" s="7"/>
      <c r="T50" s="7"/>
      <c r="U50" s="7"/>
      <c r="V50" s="7"/>
      <c r="W50" s="7"/>
      <c r="X50" s="7"/>
      <c r="Y50" s="7"/>
      <c r="Z50" s="6"/>
    </row>
    <row r="51" spans="1:26" ht="12" x14ac:dyDescent="0.15">
      <c r="A51" s="18" t="s">
        <v>567</v>
      </c>
      <c r="B51" s="81">
        <v>0</v>
      </c>
      <c r="C51" s="664">
        <f t="shared" si="2"/>
        <v>0</v>
      </c>
      <c r="D51" s="24">
        <v>0</v>
      </c>
      <c r="E51" s="664">
        <f t="shared" si="0"/>
        <v>0</v>
      </c>
      <c r="F51" s="82"/>
      <c r="G51" s="666">
        <f t="shared" si="3"/>
        <v>0</v>
      </c>
      <c r="H51" s="7"/>
      <c r="I51" s="7"/>
      <c r="J51" s="7"/>
      <c r="K51" s="7"/>
      <c r="L51" s="7"/>
      <c r="M51" s="7"/>
      <c r="N51" s="7"/>
      <c r="O51" s="7"/>
      <c r="P51" s="7"/>
      <c r="Q51" s="7"/>
      <c r="R51" s="7"/>
      <c r="S51" s="7"/>
      <c r="T51" s="7"/>
      <c r="U51" s="7"/>
      <c r="V51" s="7"/>
      <c r="W51" s="7"/>
      <c r="X51" s="7"/>
      <c r="Y51" s="7"/>
      <c r="Z51" s="6"/>
    </row>
    <row r="52" spans="1:26" ht="12" x14ac:dyDescent="0.15">
      <c r="A52" s="83" t="s">
        <v>568</v>
      </c>
      <c r="B52" s="81"/>
      <c r="C52" s="664">
        <f t="shared" si="2"/>
        <v>0</v>
      </c>
      <c r="D52" s="86">
        <v>0</v>
      </c>
      <c r="E52" s="664">
        <f t="shared" si="0"/>
        <v>0</v>
      </c>
      <c r="F52" s="82"/>
      <c r="G52" s="666">
        <f t="shared" si="3"/>
        <v>0</v>
      </c>
      <c r="H52" s="7"/>
      <c r="I52" s="7"/>
      <c r="J52" s="7"/>
      <c r="K52" s="7"/>
      <c r="L52" s="7"/>
      <c r="M52" s="7"/>
      <c r="N52" s="7"/>
      <c r="O52" s="7"/>
      <c r="P52" s="7"/>
      <c r="Q52" s="7"/>
      <c r="R52" s="7"/>
      <c r="S52" s="7"/>
      <c r="T52" s="7"/>
      <c r="U52" s="7"/>
      <c r="V52" s="7"/>
      <c r="W52" s="7"/>
      <c r="X52" s="7"/>
      <c r="Y52" s="7"/>
      <c r="Z52" s="6"/>
    </row>
    <row r="53" spans="1:26" ht="12" x14ac:dyDescent="0.15">
      <c r="A53" s="83" t="s">
        <v>569</v>
      </c>
      <c r="B53" s="81"/>
      <c r="C53" s="664">
        <f t="shared" si="2"/>
        <v>0</v>
      </c>
      <c r="D53" s="24">
        <v>0</v>
      </c>
      <c r="E53" s="664">
        <f t="shared" si="0"/>
        <v>0</v>
      </c>
      <c r="F53" s="82"/>
      <c r="G53" s="666">
        <f t="shared" si="3"/>
        <v>0</v>
      </c>
      <c r="H53" s="7"/>
      <c r="I53" s="7"/>
      <c r="J53" s="7"/>
      <c r="K53" s="7"/>
      <c r="L53" s="7"/>
      <c r="M53" s="7"/>
      <c r="N53" s="7"/>
      <c r="O53" s="7"/>
      <c r="P53" s="7"/>
      <c r="Q53" s="7"/>
      <c r="R53" s="7"/>
      <c r="S53" s="7"/>
      <c r="T53" s="7"/>
      <c r="U53" s="7"/>
      <c r="V53" s="7"/>
      <c r="W53" s="7"/>
      <c r="X53" s="7"/>
      <c r="Y53" s="7"/>
      <c r="Z53" s="6"/>
    </row>
    <row r="54" spans="1:26" ht="12" x14ac:dyDescent="0.15">
      <c r="A54" s="83" t="s">
        <v>570</v>
      </c>
      <c r="B54" s="81"/>
      <c r="C54" s="664">
        <f t="shared" si="2"/>
        <v>0</v>
      </c>
      <c r="D54" s="24">
        <v>0</v>
      </c>
      <c r="E54" s="664">
        <f t="shared" si="0"/>
        <v>0</v>
      </c>
      <c r="F54" s="82"/>
      <c r="G54" s="666">
        <f t="shared" si="3"/>
        <v>0</v>
      </c>
      <c r="H54" s="7"/>
      <c r="I54" s="7"/>
      <c r="J54" s="7"/>
      <c r="K54" s="7"/>
      <c r="L54" s="7"/>
      <c r="M54" s="7"/>
      <c r="N54" s="7"/>
      <c r="O54" s="7"/>
      <c r="P54" s="7"/>
      <c r="Q54" s="7"/>
      <c r="R54" s="7"/>
      <c r="S54" s="7"/>
      <c r="T54" s="7"/>
      <c r="U54" s="7"/>
      <c r="V54" s="7"/>
      <c r="W54" s="7"/>
      <c r="X54" s="7"/>
      <c r="Y54" s="7"/>
      <c r="Z54" s="6"/>
    </row>
    <row r="55" spans="1:26" ht="24" x14ac:dyDescent="0.15">
      <c r="A55" s="83" t="s">
        <v>571</v>
      </c>
      <c r="B55" s="84">
        <f>17099108.44/10000</f>
        <v>1709.9108440000002</v>
      </c>
      <c r="C55" s="664">
        <f t="shared" si="2"/>
        <v>9.8482822572028644E-2</v>
      </c>
      <c r="D55" s="86"/>
      <c r="E55" s="664">
        <f t="shared" si="0"/>
        <v>0</v>
      </c>
      <c r="F55" s="87"/>
      <c r="G55" s="666">
        <f t="shared" si="3"/>
        <v>0</v>
      </c>
      <c r="I55" s="7"/>
      <c r="J55" s="7"/>
      <c r="K55" s="7"/>
      <c r="L55" s="7"/>
      <c r="M55" s="7"/>
      <c r="N55" s="7"/>
      <c r="O55" s="7"/>
      <c r="P55" s="7"/>
      <c r="Q55" s="7"/>
      <c r="R55" s="7"/>
      <c r="S55" s="7"/>
      <c r="T55" s="7"/>
      <c r="U55" s="7"/>
      <c r="V55" s="7"/>
      <c r="W55" s="7"/>
      <c r="X55" s="7"/>
      <c r="Y55" s="7"/>
      <c r="Z55" s="6"/>
    </row>
    <row r="56" spans="1:26" ht="12" x14ac:dyDescent="0.15">
      <c r="A56" s="83" t="s">
        <v>572</v>
      </c>
      <c r="B56" s="81">
        <f>B3-B9</f>
        <v>682.23823000000266</v>
      </c>
      <c r="C56" s="664">
        <f t="shared" si="2"/>
        <v>3.9293713349270461E-2</v>
      </c>
      <c r="D56" s="86">
        <f>D3-D9</f>
        <v>2792.0310219999992</v>
      </c>
      <c r="E56" s="664">
        <f t="shared" si="0"/>
        <v>0.13627135732495405</v>
      </c>
      <c r="F56" s="92">
        <f>F3-F9</f>
        <v>3252.8000929999944</v>
      </c>
      <c r="G56" s="666">
        <f t="shared" si="3"/>
        <v>0.1408703324086055</v>
      </c>
      <c r="H56" s="7"/>
      <c r="I56" s="7"/>
      <c r="J56" s="7"/>
      <c r="K56" s="7"/>
      <c r="L56" s="7"/>
      <c r="M56" s="7"/>
      <c r="N56" s="7"/>
      <c r="O56" s="7"/>
      <c r="P56" s="7"/>
      <c r="Q56" s="7"/>
      <c r="R56" s="7"/>
      <c r="S56" s="7"/>
      <c r="T56" s="7"/>
      <c r="U56" s="7"/>
      <c r="V56" s="7"/>
      <c r="W56" s="7"/>
      <c r="X56" s="7"/>
      <c r="Y56" s="7"/>
      <c r="Z56" s="6"/>
    </row>
    <row r="57" spans="1:26" ht="12.75" thickBot="1" x14ac:dyDescent="0.2">
      <c r="A57" s="77" t="s">
        <v>573</v>
      </c>
      <c r="B57" s="96">
        <f>B49*70%+B55+B37+B56</f>
        <v>3420.2717621000029</v>
      </c>
      <c r="C57" s="97">
        <f t="shared" si="2"/>
        <v>0.19699156729543163</v>
      </c>
      <c r="D57" s="96">
        <f>D49*70%+D55+D56+D37</f>
        <v>7077.9590808999992</v>
      </c>
      <c r="E57" s="664">
        <f t="shared" si="0"/>
        <v>0.34545572146036402</v>
      </c>
      <c r="F57" s="98">
        <f>F49*70%+F54+F55+F56+F48*0.3</f>
        <v>8215.249599799994</v>
      </c>
      <c r="G57" s="668">
        <f t="shared" si="3"/>
        <v>0.35578114512292297</v>
      </c>
      <c r="H57" s="7"/>
      <c r="I57" s="7"/>
      <c r="J57" s="7"/>
      <c r="K57" s="7"/>
      <c r="L57" s="7"/>
      <c r="M57" s="7"/>
      <c r="N57" s="7"/>
      <c r="O57" s="7"/>
      <c r="P57" s="7"/>
      <c r="Q57" s="7"/>
      <c r="R57" s="7"/>
      <c r="S57" s="7"/>
      <c r="T57" s="7"/>
      <c r="U57" s="7"/>
      <c r="V57" s="7"/>
      <c r="W57" s="7"/>
      <c r="X57" s="7"/>
      <c r="Y57" s="7"/>
      <c r="Z57" s="6"/>
    </row>
    <row r="58" spans="1:26" x14ac:dyDescent="0.15">
      <c r="A58" s="8"/>
      <c r="B58" s="3"/>
      <c r="C58" s="3"/>
      <c r="D58" s="3"/>
      <c r="E58" s="5"/>
      <c r="F58" s="5"/>
      <c r="G58" s="7"/>
      <c r="H58" s="7"/>
      <c r="I58" s="7"/>
      <c r="J58" s="7"/>
      <c r="K58" s="7"/>
      <c r="L58" s="7"/>
      <c r="M58" s="7"/>
      <c r="N58" s="7"/>
      <c r="O58" s="7"/>
      <c r="P58" s="7"/>
      <c r="Q58" s="7"/>
      <c r="R58" s="7"/>
      <c r="S58" s="7"/>
      <c r="T58" s="7"/>
      <c r="U58" s="7"/>
      <c r="V58" s="7"/>
      <c r="W58" s="7"/>
      <c r="X58" s="7"/>
      <c r="Y58" s="7"/>
      <c r="Z58" s="6"/>
    </row>
    <row r="59" spans="1:26" x14ac:dyDescent="0.15">
      <c r="A59" s="4"/>
      <c r="B59" s="5"/>
      <c r="C59" s="5"/>
      <c r="D59" s="5"/>
      <c r="E59" s="5"/>
      <c r="F59" s="5"/>
      <c r="G59" s="7"/>
      <c r="H59" s="7"/>
      <c r="I59" s="7"/>
      <c r="J59" s="7"/>
      <c r="K59" s="7"/>
      <c r="L59" s="7"/>
      <c r="M59" s="7"/>
      <c r="N59" s="7"/>
      <c r="O59" s="7"/>
      <c r="P59" s="7"/>
      <c r="Q59" s="7"/>
      <c r="R59" s="7"/>
      <c r="S59" s="7"/>
      <c r="T59" s="7"/>
      <c r="U59" s="7"/>
      <c r="V59" s="7"/>
      <c r="W59" s="7"/>
      <c r="X59" s="7"/>
      <c r="Y59" s="7"/>
      <c r="Z59" s="6"/>
    </row>
    <row r="60" spans="1:26" x14ac:dyDescent="0.15">
      <c r="A60" s="4"/>
      <c r="B60" s="5"/>
      <c r="C60" s="5"/>
      <c r="D60" s="5"/>
      <c r="E60" s="5"/>
      <c r="F60" s="669" t="s">
        <v>613</v>
      </c>
      <c r="G60" s="7"/>
      <c r="H60" s="7"/>
      <c r="I60" s="7"/>
      <c r="J60" s="7"/>
      <c r="K60" s="7"/>
      <c r="L60" s="7"/>
      <c r="M60" s="7"/>
      <c r="N60" s="7"/>
      <c r="O60" s="7"/>
      <c r="P60" s="7"/>
      <c r="Q60" s="7"/>
      <c r="R60" s="7"/>
      <c r="S60" s="7"/>
      <c r="T60" s="7"/>
      <c r="U60" s="7"/>
      <c r="V60" s="7"/>
      <c r="W60" s="7"/>
      <c r="X60" s="7"/>
      <c r="Y60" s="7"/>
      <c r="Z60" s="6"/>
    </row>
    <row r="61" spans="1:26" x14ac:dyDescent="0.15">
      <c r="A61" s="4"/>
      <c r="B61" s="5"/>
      <c r="C61" s="5"/>
      <c r="D61" s="5"/>
      <c r="E61" s="5"/>
      <c r="F61" s="670">
        <f>F5-1800</f>
        <v>10446.008909999999</v>
      </c>
      <c r="G61" s="7"/>
      <c r="H61" s="7"/>
      <c r="I61" s="7"/>
      <c r="J61" s="7"/>
      <c r="K61" s="7"/>
      <c r="L61" s="7"/>
      <c r="M61" s="7"/>
      <c r="N61" s="7"/>
      <c r="O61" s="7"/>
      <c r="P61" s="7"/>
      <c r="Q61" s="7"/>
      <c r="R61" s="7"/>
      <c r="S61" s="7"/>
      <c r="T61" s="7"/>
      <c r="U61" s="7"/>
      <c r="V61" s="7"/>
      <c r="W61" s="7"/>
      <c r="X61" s="7"/>
      <c r="Y61" s="7"/>
      <c r="Z61" s="6"/>
    </row>
    <row r="62" spans="1:26" x14ac:dyDescent="0.15">
      <c r="A62" s="4"/>
      <c r="B62" s="5"/>
      <c r="C62" s="5"/>
      <c r="D62" s="5"/>
      <c r="E62" s="5"/>
      <c r="F62" s="669" t="s">
        <v>614</v>
      </c>
      <c r="G62" s="7"/>
      <c r="H62" s="7"/>
      <c r="I62" s="7"/>
      <c r="J62" s="7"/>
      <c r="K62" s="7"/>
      <c r="L62" s="7"/>
      <c r="M62" s="7"/>
      <c r="N62" s="7"/>
      <c r="O62" s="7"/>
      <c r="P62" s="7"/>
      <c r="Q62" s="7"/>
      <c r="R62" s="7"/>
      <c r="S62" s="7"/>
      <c r="T62" s="7"/>
      <c r="U62" s="7"/>
      <c r="V62" s="7"/>
      <c r="W62" s="7"/>
      <c r="X62" s="7"/>
      <c r="Y62" s="7"/>
      <c r="Z62" s="6"/>
    </row>
    <row r="63" spans="1:26" x14ac:dyDescent="0.15">
      <c r="A63" s="4"/>
      <c r="B63" s="5"/>
      <c r="C63" s="5"/>
      <c r="D63" s="5"/>
      <c r="E63" s="5"/>
      <c r="F63" s="670">
        <f>F61+F4+F8</f>
        <v>21290.739102999996</v>
      </c>
      <c r="G63" s="7"/>
      <c r="H63" s="7"/>
      <c r="I63" s="7"/>
      <c r="J63" s="7"/>
      <c r="K63" s="7"/>
      <c r="L63" s="7"/>
      <c r="M63" s="7"/>
      <c r="N63" s="7"/>
      <c r="O63" s="7"/>
      <c r="P63" s="7"/>
      <c r="Q63" s="7"/>
      <c r="R63" s="7"/>
      <c r="S63" s="7"/>
      <c r="T63" s="7"/>
      <c r="U63" s="7"/>
      <c r="V63" s="7"/>
      <c r="W63" s="7"/>
      <c r="X63" s="7"/>
      <c r="Y63" s="7"/>
      <c r="Z63" s="6"/>
    </row>
    <row r="64" spans="1:26" x14ac:dyDescent="0.15">
      <c r="A64" s="4"/>
      <c r="B64" s="124">
        <f>F56-1800</f>
        <v>1452.8000929999944</v>
      </c>
      <c r="C64" s="7"/>
      <c r="D64" s="5"/>
      <c r="E64" s="7"/>
      <c r="F64" s="669" t="s">
        <v>616</v>
      </c>
      <c r="G64" s="7"/>
      <c r="H64" s="7"/>
      <c r="I64" s="7"/>
      <c r="J64" s="7"/>
      <c r="K64" s="7"/>
      <c r="L64" s="7"/>
      <c r="M64" s="7"/>
      <c r="N64" s="7"/>
      <c r="O64" s="7"/>
      <c r="P64" s="7"/>
      <c r="Q64" s="7"/>
      <c r="R64" s="7"/>
      <c r="S64" s="7"/>
      <c r="T64" s="7"/>
      <c r="U64" s="7"/>
      <c r="V64" s="7"/>
      <c r="W64" s="7"/>
      <c r="X64" s="7"/>
      <c r="Y64" s="7"/>
      <c r="Z64" s="6"/>
    </row>
    <row r="65" spans="1:26" x14ac:dyDescent="0.15">
      <c r="A65" s="4"/>
      <c r="B65" s="124">
        <f>F57-1800</f>
        <v>6415.249599799994</v>
      </c>
      <c r="C65" s="7"/>
      <c r="D65" s="5"/>
      <c r="E65" s="7"/>
      <c r="F65" s="670">
        <f>F63-F9</f>
        <v>1452.8000929999944</v>
      </c>
      <c r="G65" s="7"/>
      <c r="H65" s="7"/>
      <c r="I65" s="7"/>
      <c r="J65" s="7"/>
      <c r="K65" s="7"/>
      <c r="L65" s="7"/>
      <c r="M65" s="7"/>
      <c r="N65" s="7"/>
      <c r="O65" s="7"/>
      <c r="P65" s="7"/>
      <c r="Q65" s="7"/>
      <c r="R65" s="7"/>
      <c r="S65" s="7"/>
      <c r="T65" s="7"/>
      <c r="U65" s="7"/>
      <c r="V65" s="7"/>
      <c r="W65" s="7"/>
      <c r="X65" s="7"/>
      <c r="Y65" s="7"/>
      <c r="Z65" s="6"/>
    </row>
    <row r="66" spans="1:26" ht="22.5" x14ac:dyDescent="0.15">
      <c r="A66" s="4"/>
      <c r="B66" s="125">
        <f>B65/F63</f>
        <v>0.30131643475430336</v>
      </c>
      <c r="C66" s="7"/>
      <c r="D66" s="5"/>
      <c r="E66" s="7"/>
      <c r="F66" s="671" t="s">
        <v>617</v>
      </c>
      <c r="G66" s="674" t="s">
        <v>618</v>
      </c>
      <c r="H66" s="7"/>
      <c r="I66" s="7"/>
      <c r="J66" s="7"/>
      <c r="K66" s="7"/>
      <c r="L66" s="7"/>
      <c r="M66" s="7"/>
      <c r="N66" s="7"/>
      <c r="O66" s="7"/>
      <c r="P66" s="7"/>
      <c r="Q66" s="7"/>
      <c r="R66" s="7"/>
      <c r="S66" s="7"/>
      <c r="T66" s="7"/>
      <c r="U66" s="7"/>
      <c r="V66" s="7"/>
      <c r="W66" s="7"/>
      <c r="X66" s="7"/>
      <c r="Y66" s="7"/>
      <c r="Z66" s="6"/>
    </row>
    <row r="67" spans="1:26" x14ac:dyDescent="0.15">
      <c r="A67" s="4"/>
      <c r="B67" s="7"/>
      <c r="C67" s="7"/>
      <c r="D67" s="5"/>
      <c r="E67" s="7"/>
      <c r="F67" s="672">
        <v>6415.25</v>
      </c>
      <c r="G67" s="675">
        <f>F56+F49*70%+F48*30%-1800*50%</f>
        <v>7315.249599799994</v>
      </c>
      <c r="H67" s="7"/>
      <c r="I67" s="7"/>
      <c r="J67" s="7"/>
      <c r="K67" s="7"/>
      <c r="L67" s="7"/>
      <c r="M67" s="7"/>
      <c r="N67" s="7"/>
      <c r="O67" s="7"/>
      <c r="P67" s="7"/>
      <c r="Q67" s="7"/>
      <c r="R67" s="7"/>
      <c r="S67" s="7"/>
      <c r="T67" s="7"/>
      <c r="U67" s="7"/>
      <c r="V67" s="7"/>
      <c r="W67" s="7"/>
      <c r="X67" s="7"/>
      <c r="Y67" s="7"/>
      <c r="Z67" s="6"/>
    </row>
    <row r="68" spans="1:26" ht="22.5" x14ac:dyDescent="0.15">
      <c r="A68" s="4"/>
      <c r="B68" s="7"/>
      <c r="C68" s="7"/>
      <c r="D68" s="5"/>
      <c r="E68" s="7"/>
      <c r="F68" s="669" t="s">
        <v>619</v>
      </c>
      <c r="G68" s="676" t="s">
        <v>620</v>
      </c>
      <c r="H68" s="7"/>
      <c r="I68" s="7"/>
      <c r="J68" s="7"/>
      <c r="K68" s="7"/>
      <c r="L68" s="7"/>
      <c r="M68" s="7"/>
      <c r="N68" s="7"/>
      <c r="O68" s="7"/>
      <c r="P68" s="7"/>
      <c r="Q68" s="7"/>
      <c r="R68" s="7"/>
      <c r="S68" s="7"/>
      <c r="T68" s="7"/>
      <c r="U68" s="7"/>
      <c r="V68" s="7"/>
      <c r="W68" s="7"/>
      <c r="X68" s="7"/>
      <c r="Y68" s="7"/>
      <c r="Z68" s="6"/>
    </row>
    <row r="69" spans="1:26" x14ac:dyDescent="0.15">
      <c r="A69" s="4"/>
      <c r="B69" s="7"/>
      <c r="C69" s="7"/>
      <c r="D69" s="5"/>
      <c r="E69" s="7"/>
      <c r="F69" s="673">
        <f>F67/F63</f>
        <v>0.30131645355120862</v>
      </c>
      <c r="G69" s="677">
        <f>G67/F63</f>
        <v>0.34358833502258407</v>
      </c>
      <c r="H69" s="7"/>
      <c r="I69" s="7"/>
      <c r="J69" s="7"/>
      <c r="K69" s="7"/>
      <c r="L69" s="7"/>
      <c r="M69" s="7"/>
      <c r="N69" s="7"/>
      <c r="O69" s="7"/>
      <c r="P69" s="7"/>
      <c r="Q69" s="7"/>
      <c r="R69" s="7"/>
      <c r="S69" s="7"/>
      <c r="T69" s="7"/>
      <c r="U69" s="7"/>
      <c r="V69" s="7"/>
      <c r="W69" s="7"/>
      <c r="X69" s="7"/>
      <c r="Y69" s="7"/>
      <c r="Z69" s="6"/>
    </row>
    <row r="70" spans="1:26" x14ac:dyDescent="0.15">
      <c r="A70" s="4"/>
      <c r="B70" s="7"/>
      <c r="C70" s="7"/>
      <c r="D70" s="5"/>
      <c r="E70" s="7"/>
      <c r="F70" s="5"/>
      <c r="G70" s="7"/>
      <c r="H70" s="7"/>
      <c r="I70" s="7"/>
      <c r="J70" s="7"/>
      <c r="K70" s="7"/>
      <c r="L70" s="7"/>
      <c r="M70" s="7"/>
      <c r="N70" s="7"/>
      <c r="O70" s="7"/>
      <c r="P70" s="7"/>
      <c r="Q70" s="7"/>
      <c r="R70" s="7"/>
      <c r="S70" s="7"/>
      <c r="T70" s="7"/>
      <c r="U70" s="7"/>
      <c r="V70" s="7"/>
      <c r="W70" s="7"/>
      <c r="X70" s="7"/>
      <c r="Y70" s="7"/>
      <c r="Z70" s="6"/>
    </row>
    <row r="71" spans="1:26" x14ac:dyDescent="0.15">
      <c r="A71" s="4"/>
      <c r="B71" s="7"/>
      <c r="C71" s="7"/>
      <c r="D71" s="5"/>
      <c r="E71" s="7"/>
      <c r="F71" s="5"/>
      <c r="G71" s="7"/>
      <c r="H71" s="7"/>
      <c r="I71" s="7"/>
      <c r="J71" s="7"/>
      <c r="K71" s="7"/>
      <c r="L71" s="7"/>
      <c r="M71" s="7"/>
      <c r="N71" s="7"/>
      <c r="O71" s="7"/>
      <c r="P71" s="7"/>
      <c r="Q71" s="7"/>
      <c r="R71" s="7"/>
      <c r="S71" s="7"/>
      <c r="T71" s="7"/>
      <c r="U71" s="7"/>
      <c r="V71" s="7"/>
      <c r="W71" s="7"/>
      <c r="X71" s="7"/>
      <c r="Y71" s="7"/>
      <c r="Z71" s="6"/>
    </row>
    <row r="72" spans="1:26" x14ac:dyDescent="0.15">
      <c r="A72" s="4"/>
      <c r="B72" s="7"/>
      <c r="C72" s="7"/>
      <c r="D72" s="5"/>
      <c r="E72" s="7"/>
      <c r="F72" s="5"/>
      <c r="G72" s="7"/>
      <c r="H72" s="7"/>
      <c r="I72" s="7"/>
      <c r="J72" s="7"/>
      <c r="K72" s="7"/>
      <c r="L72" s="7"/>
      <c r="M72" s="7"/>
      <c r="N72" s="7"/>
      <c r="O72" s="7"/>
      <c r="P72" s="7"/>
      <c r="Q72" s="7"/>
      <c r="R72" s="7"/>
      <c r="S72" s="7"/>
      <c r="T72" s="7"/>
      <c r="U72" s="7"/>
      <c r="V72" s="7"/>
      <c r="W72" s="7"/>
      <c r="X72" s="7"/>
      <c r="Y72" s="7"/>
      <c r="Z72" s="6"/>
    </row>
    <row r="73" spans="1:26" x14ac:dyDescent="0.15">
      <c r="A73" s="4"/>
      <c r="B73" s="7"/>
      <c r="C73" s="7"/>
      <c r="D73" s="5"/>
      <c r="E73" s="7"/>
      <c r="F73" s="5"/>
      <c r="G73" s="7"/>
      <c r="H73" s="7"/>
      <c r="I73" s="7"/>
      <c r="J73" s="7"/>
      <c r="K73" s="7"/>
      <c r="L73" s="7"/>
      <c r="M73" s="7"/>
      <c r="N73" s="7"/>
      <c r="O73" s="7"/>
      <c r="P73" s="7"/>
      <c r="Q73" s="7"/>
      <c r="R73" s="7"/>
      <c r="S73" s="7"/>
      <c r="T73" s="7"/>
      <c r="U73" s="7"/>
      <c r="V73" s="7"/>
      <c r="W73" s="7"/>
      <c r="X73" s="7"/>
      <c r="Y73" s="7"/>
      <c r="Z73" s="6"/>
    </row>
    <row r="74" spans="1:26" x14ac:dyDescent="0.15">
      <c r="A74" s="4"/>
      <c r="B74" s="7"/>
      <c r="C74" s="7"/>
      <c r="D74" s="5"/>
      <c r="E74" s="7"/>
      <c r="F74" s="5"/>
      <c r="G74" s="7"/>
      <c r="H74" s="7"/>
      <c r="I74" s="7"/>
      <c r="J74" s="7"/>
      <c r="K74" s="7"/>
      <c r="L74" s="7"/>
      <c r="M74" s="7"/>
      <c r="N74" s="7"/>
      <c r="O74" s="7"/>
      <c r="P74" s="7"/>
      <c r="Q74" s="7"/>
      <c r="R74" s="7"/>
      <c r="S74" s="7"/>
      <c r="T74" s="7"/>
      <c r="U74" s="7"/>
      <c r="V74" s="7"/>
      <c r="W74" s="7"/>
      <c r="X74" s="7"/>
      <c r="Y74" s="7"/>
      <c r="Z74" s="6"/>
    </row>
    <row r="75" spans="1:26" x14ac:dyDescent="0.15">
      <c r="A75" s="4"/>
      <c r="B75" s="7"/>
      <c r="C75" s="7"/>
      <c r="D75" s="5"/>
      <c r="E75" s="7"/>
      <c r="F75" s="5"/>
      <c r="G75" s="7"/>
      <c r="H75" s="7"/>
      <c r="I75" s="7"/>
      <c r="J75" s="7"/>
      <c r="K75" s="7"/>
      <c r="L75" s="7"/>
      <c r="M75" s="7"/>
      <c r="N75" s="7"/>
      <c r="O75" s="7"/>
      <c r="P75" s="7"/>
      <c r="Q75" s="7"/>
      <c r="R75" s="7"/>
      <c r="S75" s="7"/>
      <c r="T75" s="7"/>
      <c r="U75" s="7"/>
      <c r="V75" s="7"/>
      <c r="W75" s="7"/>
      <c r="X75" s="7"/>
      <c r="Y75" s="7"/>
      <c r="Z75" s="6"/>
    </row>
    <row r="76" spans="1:26" x14ac:dyDescent="0.15">
      <c r="A76" s="4"/>
      <c r="B76" s="7"/>
      <c r="C76" s="7"/>
      <c r="D76" s="5"/>
      <c r="E76" s="7"/>
      <c r="F76" s="5"/>
      <c r="G76" s="7"/>
      <c r="H76" s="7"/>
      <c r="I76" s="7"/>
      <c r="J76" s="7"/>
      <c r="K76" s="7"/>
      <c r="L76" s="7"/>
      <c r="M76" s="7"/>
      <c r="N76" s="7"/>
      <c r="O76" s="7"/>
      <c r="P76" s="7"/>
      <c r="Q76" s="7"/>
      <c r="R76" s="7"/>
      <c r="S76" s="7"/>
      <c r="T76" s="7"/>
      <c r="U76" s="7"/>
      <c r="V76" s="7"/>
      <c r="W76" s="7"/>
      <c r="X76" s="7"/>
      <c r="Y76" s="7"/>
      <c r="Z76" s="6"/>
    </row>
    <row r="77" spans="1:26" x14ac:dyDescent="0.15">
      <c r="A77" s="4"/>
      <c r="B77" s="7"/>
      <c r="C77" s="7"/>
      <c r="D77" s="5"/>
      <c r="E77" s="7"/>
      <c r="F77" s="5"/>
      <c r="G77" s="7"/>
      <c r="H77" s="7"/>
      <c r="I77" s="7"/>
      <c r="J77" s="7"/>
      <c r="K77" s="7"/>
      <c r="L77" s="7"/>
      <c r="M77" s="7"/>
      <c r="N77" s="7"/>
      <c r="O77" s="7"/>
      <c r="P77" s="7"/>
      <c r="Q77" s="7"/>
      <c r="R77" s="7"/>
      <c r="S77" s="7"/>
      <c r="T77" s="7"/>
      <c r="U77" s="7"/>
      <c r="V77" s="7"/>
      <c r="W77" s="7"/>
      <c r="X77" s="7"/>
      <c r="Y77" s="7"/>
      <c r="Z77" s="6"/>
    </row>
    <row r="78" spans="1:26" x14ac:dyDescent="0.15">
      <c r="A78" s="4"/>
      <c r="B78" s="7"/>
      <c r="C78" s="7"/>
      <c r="D78" s="5"/>
      <c r="E78" s="7"/>
      <c r="F78" s="5"/>
      <c r="G78" s="7"/>
      <c r="H78" s="7"/>
      <c r="I78" s="7"/>
      <c r="J78" s="7"/>
      <c r="K78" s="7"/>
      <c r="L78" s="7"/>
      <c r="M78" s="7"/>
      <c r="N78" s="7"/>
      <c r="O78" s="7"/>
      <c r="P78" s="7"/>
      <c r="Q78" s="7"/>
      <c r="R78" s="7"/>
      <c r="S78" s="7"/>
      <c r="T78" s="7"/>
      <c r="U78" s="7"/>
      <c r="V78" s="7"/>
      <c r="W78" s="7"/>
      <c r="X78" s="7"/>
      <c r="Y78" s="7"/>
      <c r="Z78" s="6"/>
    </row>
    <row r="79" spans="1:26" x14ac:dyDescent="0.15">
      <c r="A79" s="4"/>
      <c r="B79" s="7"/>
      <c r="C79" s="7"/>
      <c r="D79" s="5"/>
      <c r="E79" s="7"/>
      <c r="F79" s="5"/>
      <c r="G79" s="7"/>
      <c r="H79" s="7"/>
      <c r="I79" s="7"/>
      <c r="J79" s="7"/>
      <c r="K79" s="7"/>
      <c r="L79" s="7"/>
      <c r="M79" s="7"/>
      <c r="N79" s="7"/>
      <c r="O79" s="7"/>
      <c r="P79" s="7"/>
      <c r="Q79" s="7"/>
      <c r="R79" s="7"/>
      <c r="S79" s="7"/>
      <c r="T79" s="7"/>
      <c r="U79" s="7"/>
      <c r="V79" s="7"/>
      <c r="W79" s="7"/>
      <c r="X79" s="7"/>
      <c r="Y79" s="7"/>
      <c r="Z79" s="6"/>
    </row>
    <row r="80" spans="1:26" x14ac:dyDescent="0.15">
      <c r="A80" s="4"/>
      <c r="B80" s="7"/>
      <c r="C80" s="7"/>
      <c r="D80" s="5"/>
      <c r="E80" s="7"/>
      <c r="F80" s="5"/>
      <c r="G80" s="7"/>
      <c r="H80" s="7"/>
      <c r="I80" s="7"/>
      <c r="J80" s="7"/>
      <c r="K80" s="7"/>
      <c r="L80" s="7"/>
      <c r="M80" s="7"/>
      <c r="N80" s="7"/>
      <c r="O80" s="7"/>
      <c r="P80" s="7"/>
      <c r="Q80" s="7"/>
      <c r="R80" s="7"/>
      <c r="S80" s="7"/>
      <c r="T80" s="7"/>
      <c r="U80" s="7"/>
      <c r="V80" s="7"/>
      <c r="W80" s="7"/>
      <c r="X80" s="7"/>
      <c r="Y80" s="7"/>
      <c r="Z80" s="6"/>
    </row>
    <row r="81" spans="1:26" x14ac:dyDescent="0.15">
      <c r="A81" s="4"/>
      <c r="B81" s="7"/>
      <c r="C81" s="7"/>
      <c r="D81" s="5"/>
      <c r="E81" s="7"/>
      <c r="F81" s="5"/>
      <c r="G81" s="7"/>
      <c r="H81" s="7"/>
      <c r="I81" s="7"/>
      <c r="J81" s="7"/>
      <c r="K81" s="7"/>
      <c r="L81" s="7"/>
      <c r="M81" s="7"/>
      <c r="N81" s="7"/>
      <c r="O81" s="7"/>
      <c r="P81" s="7"/>
      <c r="Q81" s="7"/>
      <c r="R81" s="7"/>
      <c r="S81" s="7"/>
      <c r="T81" s="7"/>
      <c r="U81" s="7"/>
      <c r="V81" s="7"/>
      <c r="W81" s="7"/>
      <c r="X81" s="7"/>
      <c r="Y81" s="7"/>
      <c r="Z81" s="6"/>
    </row>
    <row r="82" spans="1:26" x14ac:dyDescent="0.15">
      <c r="A82" s="4"/>
      <c r="B82" s="7"/>
      <c r="C82" s="7"/>
      <c r="D82" s="5"/>
      <c r="E82" s="7"/>
      <c r="F82" s="5"/>
      <c r="G82" s="7"/>
      <c r="H82" s="7"/>
      <c r="I82" s="7"/>
      <c r="J82" s="7"/>
      <c r="K82" s="7"/>
      <c r="L82" s="7"/>
      <c r="M82" s="7"/>
      <c r="N82" s="7"/>
      <c r="O82" s="7"/>
      <c r="P82" s="7"/>
      <c r="Q82" s="7"/>
      <c r="R82" s="7"/>
      <c r="S82" s="7"/>
      <c r="T82" s="7"/>
      <c r="U82" s="7"/>
      <c r="V82" s="7"/>
      <c r="W82" s="7"/>
      <c r="X82" s="7"/>
      <c r="Y82" s="7"/>
      <c r="Z82" s="6"/>
    </row>
    <row r="83" spans="1:26" x14ac:dyDescent="0.15">
      <c r="A83" s="4"/>
      <c r="B83" s="7"/>
      <c r="C83" s="7"/>
      <c r="D83" s="5"/>
      <c r="E83" s="7"/>
      <c r="F83" s="5"/>
      <c r="G83" s="7"/>
      <c r="H83" s="7"/>
      <c r="I83" s="7"/>
      <c r="J83" s="7"/>
      <c r="K83" s="7"/>
      <c r="L83" s="7"/>
      <c r="M83" s="7"/>
      <c r="N83" s="7"/>
      <c r="O83" s="7"/>
      <c r="P83" s="7"/>
      <c r="Q83" s="7"/>
      <c r="R83" s="7"/>
      <c r="S83" s="7"/>
      <c r="T83" s="7"/>
      <c r="U83" s="7"/>
      <c r="V83" s="7"/>
      <c r="W83" s="7"/>
      <c r="X83" s="7"/>
      <c r="Y83" s="7"/>
      <c r="Z83" s="6"/>
    </row>
    <row r="84" spans="1:26" x14ac:dyDescent="0.15">
      <c r="A84" s="4"/>
      <c r="B84" s="7"/>
      <c r="C84" s="7"/>
      <c r="D84" s="5"/>
      <c r="E84" s="7"/>
      <c r="F84" s="5"/>
      <c r="G84" s="7"/>
      <c r="H84" s="7"/>
      <c r="I84" s="7"/>
      <c r="J84" s="7"/>
      <c r="K84" s="7"/>
      <c r="L84" s="7"/>
      <c r="M84" s="7"/>
      <c r="N84" s="7"/>
      <c r="O84" s="7"/>
      <c r="P84" s="7"/>
      <c r="Q84" s="7"/>
      <c r="R84" s="7"/>
      <c r="S84" s="7"/>
      <c r="T84" s="7"/>
      <c r="U84" s="7"/>
      <c r="V84" s="7"/>
      <c r="W84" s="7"/>
      <c r="X84" s="7"/>
      <c r="Y84" s="7"/>
      <c r="Z84" s="6"/>
    </row>
    <row r="85" spans="1:26" x14ac:dyDescent="0.15">
      <c r="A85" s="4"/>
      <c r="B85" s="7"/>
      <c r="C85" s="7"/>
      <c r="D85" s="5"/>
      <c r="E85" s="7"/>
      <c r="F85" s="5"/>
      <c r="G85" s="7"/>
      <c r="H85" s="7"/>
      <c r="I85" s="7"/>
      <c r="J85" s="7"/>
      <c r="K85" s="7"/>
      <c r="L85" s="7"/>
      <c r="M85" s="7"/>
      <c r="N85" s="7"/>
      <c r="O85" s="7"/>
      <c r="P85" s="7"/>
      <c r="Q85" s="7"/>
      <c r="R85" s="7"/>
      <c r="S85" s="7"/>
      <c r="T85" s="7"/>
      <c r="U85" s="7"/>
      <c r="V85" s="7"/>
      <c r="W85" s="7"/>
      <c r="X85" s="7"/>
      <c r="Y85" s="7"/>
      <c r="Z85" s="6"/>
    </row>
    <row r="86" spans="1:26" x14ac:dyDescent="0.15">
      <c r="A86" s="4"/>
      <c r="B86" s="7"/>
      <c r="C86" s="7"/>
      <c r="D86" s="5"/>
      <c r="E86" s="7"/>
      <c r="F86" s="5"/>
      <c r="G86" s="7"/>
      <c r="H86" s="7"/>
      <c r="I86" s="7"/>
      <c r="J86" s="7"/>
      <c r="K86" s="7"/>
      <c r="L86" s="7"/>
      <c r="M86" s="7"/>
      <c r="N86" s="7"/>
      <c r="O86" s="7"/>
      <c r="P86" s="7"/>
      <c r="Q86" s="7"/>
      <c r="R86" s="7"/>
      <c r="S86" s="7"/>
      <c r="T86" s="7"/>
      <c r="U86" s="7"/>
      <c r="V86" s="7"/>
      <c r="W86" s="7"/>
      <c r="X86" s="7"/>
      <c r="Y86" s="7"/>
      <c r="Z86" s="6"/>
    </row>
    <row r="87" spans="1:26" x14ac:dyDescent="0.15">
      <c r="A87" s="4"/>
      <c r="B87" s="7"/>
      <c r="C87" s="7"/>
      <c r="D87" s="5"/>
      <c r="E87" s="7"/>
      <c r="F87" s="5"/>
      <c r="G87" s="7"/>
      <c r="H87" s="7"/>
      <c r="I87" s="7"/>
      <c r="J87" s="7"/>
      <c r="K87" s="7"/>
      <c r="L87" s="7"/>
      <c r="M87" s="7"/>
      <c r="N87" s="7"/>
      <c r="O87" s="7"/>
      <c r="P87" s="7"/>
      <c r="Q87" s="7"/>
      <c r="R87" s="7"/>
      <c r="S87" s="7"/>
      <c r="T87" s="7"/>
      <c r="U87" s="7"/>
      <c r="V87" s="7"/>
      <c r="W87" s="7"/>
      <c r="X87" s="7"/>
      <c r="Y87" s="7"/>
      <c r="Z87" s="6"/>
    </row>
    <row r="88" spans="1:26" x14ac:dyDescent="0.15">
      <c r="A88" s="4"/>
      <c r="B88" s="7"/>
      <c r="C88" s="7"/>
      <c r="D88" s="5"/>
      <c r="E88" s="7"/>
      <c r="F88" s="5"/>
      <c r="G88" s="7"/>
      <c r="H88" s="7"/>
      <c r="I88" s="7"/>
      <c r="J88" s="7"/>
      <c r="K88" s="7"/>
      <c r="L88" s="7"/>
      <c r="M88" s="7"/>
      <c r="N88" s="7"/>
      <c r="O88" s="7"/>
      <c r="P88" s="7"/>
      <c r="Q88" s="7"/>
      <c r="R88" s="7"/>
      <c r="S88" s="7"/>
      <c r="T88" s="7"/>
      <c r="U88" s="7"/>
      <c r="V88" s="7"/>
      <c r="W88" s="7"/>
      <c r="X88" s="7"/>
      <c r="Y88" s="7"/>
      <c r="Z88" s="6"/>
    </row>
    <row r="89" spans="1:26" x14ac:dyDescent="0.15">
      <c r="A89" s="4"/>
      <c r="B89" s="7"/>
      <c r="C89" s="7"/>
      <c r="D89" s="5"/>
      <c r="E89" s="7"/>
      <c r="F89" s="5"/>
      <c r="G89" s="7"/>
      <c r="H89" s="7"/>
      <c r="I89" s="7"/>
      <c r="J89" s="7"/>
      <c r="K89" s="7"/>
      <c r="L89" s="7"/>
      <c r="M89" s="7"/>
      <c r="N89" s="7"/>
      <c r="O89" s="7"/>
      <c r="P89" s="7"/>
      <c r="Q89" s="7"/>
      <c r="R89" s="7"/>
      <c r="S89" s="7"/>
      <c r="T89" s="7"/>
      <c r="U89" s="7"/>
      <c r="V89" s="7"/>
      <c r="W89" s="7"/>
      <c r="X89" s="7"/>
      <c r="Y89" s="7"/>
      <c r="Z89" s="6"/>
    </row>
    <row r="90" spans="1:26" x14ac:dyDescent="0.15">
      <c r="A90" s="4"/>
      <c r="B90" s="7"/>
      <c r="C90" s="7"/>
      <c r="D90" s="5"/>
      <c r="E90" s="7"/>
      <c r="F90" s="5"/>
      <c r="G90" s="7"/>
      <c r="H90" s="7"/>
      <c r="I90" s="7"/>
      <c r="J90" s="7"/>
      <c r="K90" s="7"/>
      <c r="L90" s="7"/>
      <c r="M90" s="7"/>
      <c r="N90" s="7"/>
      <c r="O90" s="7"/>
      <c r="P90" s="7"/>
      <c r="Q90" s="7"/>
      <c r="R90" s="7"/>
      <c r="S90" s="7"/>
      <c r="T90" s="7"/>
      <c r="U90" s="7"/>
      <c r="V90" s="7"/>
      <c r="W90" s="7"/>
      <c r="X90" s="7"/>
      <c r="Y90" s="7"/>
      <c r="Z90" s="6"/>
    </row>
    <row r="91" spans="1:26" x14ac:dyDescent="0.15">
      <c r="A91" s="4"/>
      <c r="B91" s="7"/>
      <c r="C91" s="7"/>
      <c r="D91" s="5"/>
      <c r="E91" s="7"/>
      <c r="F91" s="5"/>
      <c r="G91" s="7"/>
      <c r="H91" s="7"/>
      <c r="I91" s="7"/>
      <c r="J91" s="7"/>
      <c r="K91" s="7"/>
      <c r="L91" s="7"/>
      <c r="M91" s="7"/>
      <c r="N91" s="7"/>
      <c r="O91" s="7"/>
      <c r="P91" s="7"/>
      <c r="Q91" s="7"/>
      <c r="R91" s="7"/>
      <c r="S91" s="7"/>
      <c r="T91" s="7"/>
      <c r="U91" s="7"/>
      <c r="V91" s="7"/>
      <c r="W91" s="7"/>
      <c r="X91" s="7"/>
      <c r="Y91" s="7"/>
      <c r="Z91" s="6"/>
    </row>
    <row r="92" spans="1:26" x14ac:dyDescent="0.15">
      <c r="A92" s="4"/>
      <c r="B92" s="7"/>
      <c r="C92" s="7"/>
      <c r="D92" s="5"/>
      <c r="E92" s="7"/>
      <c r="F92" s="5"/>
      <c r="G92" s="7"/>
      <c r="H92" s="7"/>
      <c r="I92" s="7"/>
      <c r="J92" s="7"/>
      <c r="K92" s="7"/>
      <c r="L92" s="7"/>
      <c r="M92" s="7"/>
      <c r="N92" s="7"/>
      <c r="O92" s="7"/>
      <c r="P92" s="7"/>
      <c r="Q92" s="7"/>
      <c r="R92" s="7"/>
      <c r="S92" s="7"/>
      <c r="T92" s="7"/>
      <c r="U92" s="7"/>
      <c r="V92" s="7"/>
      <c r="W92" s="7"/>
      <c r="X92" s="7"/>
      <c r="Y92" s="7"/>
      <c r="Z92" s="6"/>
    </row>
    <row r="93" spans="1:26" x14ac:dyDescent="0.15">
      <c r="A93" s="4"/>
      <c r="B93" s="7"/>
      <c r="C93" s="7"/>
      <c r="D93" s="5"/>
      <c r="E93" s="7"/>
      <c r="F93" s="5"/>
      <c r="G93" s="7"/>
      <c r="H93" s="7"/>
      <c r="I93" s="7"/>
      <c r="J93" s="7"/>
      <c r="K93" s="7"/>
      <c r="L93" s="7"/>
      <c r="M93" s="7"/>
      <c r="N93" s="7"/>
      <c r="O93" s="7"/>
      <c r="P93" s="7"/>
      <c r="Q93" s="7"/>
      <c r="R93" s="7"/>
      <c r="S93" s="7"/>
      <c r="T93" s="7"/>
      <c r="U93" s="7"/>
      <c r="V93" s="7"/>
      <c r="W93" s="7"/>
      <c r="X93" s="7"/>
      <c r="Y93" s="7"/>
      <c r="Z93" s="6"/>
    </row>
    <row r="94" spans="1:26" x14ac:dyDescent="0.15">
      <c r="A94" s="4"/>
      <c r="B94" s="7"/>
      <c r="C94" s="7"/>
      <c r="D94" s="5"/>
      <c r="E94" s="7"/>
      <c r="F94" s="5"/>
      <c r="G94" s="7"/>
      <c r="H94" s="7"/>
      <c r="I94" s="7"/>
      <c r="J94" s="7"/>
      <c r="K94" s="7"/>
      <c r="L94" s="7"/>
      <c r="M94" s="7"/>
      <c r="N94" s="7"/>
      <c r="O94" s="7"/>
      <c r="P94" s="7"/>
      <c r="Q94" s="7"/>
      <c r="R94" s="7"/>
      <c r="S94" s="7"/>
      <c r="T94" s="7"/>
      <c r="U94" s="7"/>
      <c r="V94" s="7"/>
      <c r="W94" s="7"/>
      <c r="X94" s="7"/>
      <c r="Y94" s="7"/>
      <c r="Z94" s="6"/>
    </row>
    <row r="95" spans="1:26" x14ac:dyDescent="0.15">
      <c r="A95" s="4"/>
      <c r="B95" s="7"/>
      <c r="C95" s="7"/>
      <c r="D95" s="5"/>
      <c r="E95" s="7"/>
      <c r="F95" s="5"/>
      <c r="G95" s="7"/>
      <c r="H95" s="7"/>
      <c r="I95" s="7"/>
      <c r="J95" s="7"/>
      <c r="K95" s="7"/>
      <c r="L95" s="7"/>
      <c r="M95" s="7"/>
      <c r="N95" s="7"/>
      <c r="O95" s="7"/>
      <c r="P95" s="7"/>
      <c r="Q95" s="7"/>
      <c r="R95" s="7"/>
      <c r="S95" s="7"/>
      <c r="T95" s="7"/>
      <c r="U95" s="7"/>
      <c r="V95" s="7"/>
      <c r="W95" s="7"/>
      <c r="X95" s="7"/>
      <c r="Y95" s="7"/>
      <c r="Z95" s="6"/>
    </row>
    <row r="96" spans="1:26" x14ac:dyDescent="0.15">
      <c r="A96" s="4"/>
      <c r="B96" s="7"/>
      <c r="C96" s="7"/>
      <c r="D96" s="5"/>
      <c r="E96" s="7"/>
      <c r="F96" s="5"/>
      <c r="G96" s="7"/>
      <c r="H96" s="7"/>
      <c r="I96" s="7"/>
      <c r="J96" s="7"/>
      <c r="K96" s="7"/>
      <c r="L96" s="7"/>
      <c r="M96" s="7"/>
      <c r="N96" s="7"/>
      <c r="O96" s="7"/>
      <c r="P96" s="7"/>
      <c r="Q96" s="7"/>
      <c r="R96" s="7"/>
      <c r="S96" s="7"/>
      <c r="T96" s="7"/>
      <c r="U96" s="7"/>
      <c r="V96" s="7"/>
      <c r="W96" s="7"/>
      <c r="X96" s="7"/>
      <c r="Y96" s="7"/>
      <c r="Z96" s="6"/>
    </row>
    <row r="97" spans="1:26" x14ac:dyDescent="0.15">
      <c r="A97" s="4"/>
      <c r="B97" s="7"/>
      <c r="C97" s="7"/>
      <c r="D97" s="5"/>
      <c r="E97" s="7"/>
      <c r="F97" s="5"/>
      <c r="G97" s="7"/>
      <c r="H97" s="7"/>
      <c r="I97" s="7"/>
      <c r="J97" s="7"/>
      <c r="K97" s="7"/>
      <c r="L97" s="7"/>
      <c r="M97" s="7"/>
      <c r="N97" s="7"/>
      <c r="O97" s="7"/>
      <c r="P97" s="7"/>
      <c r="Q97" s="7"/>
      <c r="R97" s="7"/>
      <c r="S97" s="7"/>
      <c r="T97" s="7"/>
      <c r="U97" s="7"/>
      <c r="V97" s="7"/>
      <c r="W97" s="7"/>
      <c r="X97" s="7"/>
      <c r="Y97" s="7"/>
      <c r="Z97" s="6"/>
    </row>
    <row r="98" spans="1:26" x14ac:dyDescent="0.15">
      <c r="A98" s="4"/>
      <c r="B98" s="7"/>
      <c r="C98" s="7"/>
      <c r="D98" s="5"/>
      <c r="E98" s="7"/>
      <c r="F98" s="5"/>
      <c r="G98" s="7"/>
      <c r="H98" s="7"/>
      <c r="I98" s="7"/>
      <c r="J98" s="7"/>
      <c r="K98" s="7"/>
      <c r="L98" s="7"/>
      <c r="M98" s="7"/>
      <c r="N98" s="7"/>
      <c r="O98" s="7"/>
      <c r="P98" s="7"/>
      <c r="Q98" s="7"/>
      <c r="R98" s="7"/>
      <c r="S98" s="7"/>
      <c r="T98" s="7"/>
      <c r="U98" s="7"/>
      <c r="V98" s="7"/>
      <c r="W98" s="7"/>
      <c r="X98" s="7"/>
      <c r="Y98" s="7"/>
      <c r="Z98" s="6"/>
    </row>
    <row r="99" spans="1:26" x14ac:dyDescent="0.15">
      <c r="A99" s="4"/>
      <c r="B99" s="7"/>
      <c r="C99" s="7"/>
      <c r="D99" s="5"/>
      <c r="E99" s="7"/>
      <c r="F99" s="5"/>
      <c r="G99" s="7"/>
      <c r="H99" s="7"/>
      <c r="I99" s="7"/>
      <c r="J99" s="7"/>
      <c r="K99" s="7"/>
      <c r="L99" s="7"/>
      <c r="M99" s="7"/>
      <c r="N99" s="7"/>
      <c r="O99" s="7"/>
      <c r="P99" s="7"/>
      <c r="Q99" s="7"/>
      <c r="R99" s="7"/>
      <c r="S99" s="7"/>
      <c r="T99" s="7"/>
      <c r="U99" s="7"/>
      <c r="V99" s="7"/>
      <c r="W99" s="7"/>
      <c r="X99" s="7"/>
      <c r="Y99" s="7"/>
      <c r="Z99" s="6"/>
    </row>
    <row r="100" spans="1:26" x14ac:dyDescent="0.15">
      <c r="A100" s="4"/>
      <c r="B100" s="7"/>
      <c r="C100" s="7"/>
      <c r="D100" s="5"/>
      <c r="E100" s="7"/>
      <c r="F100" s="5"/>
      <c r="G100" s="7"/>
      <c r="H100" s="7"/>
      <c r="I100" s="7"/>
      <c r="J100" s="7"/>
      <c r="K100" s="7"/>
      <c r="L100" s="7"/>
      <c r="M100" s="7"/>
      <c r="N100" s="7"/>
      <c r="O100" s="7"/>
      <c r="P100" s="7"/>
      <c r="Q100" s="7"/>
      <c r="R100" s="7"/>
      <c r="S100" s="7"/>
      <c r="T100" s="7"/>
      <c r="U100" s="7"/>
      <c r="V100" s="7"/>
      <c r="W100" s="7"/>
      <c r="X100" s="7"/>
      <c r="Y100" s="7"/>
      <c r="Z100" s="6"/>
    </row>
    <row r="101" spans="1:26" x14ac:dyDescent="0.15">
      <c r="A101" s="4"/>
      <c r="B101" s="7"/>
      <c r="C101" s="7"/>
      <c r="D101" s="5"/>
      <c r="E101" s="7"/>
      <c r="F101" s="5"/>
      <c r="G101" s="7"/>
      <c r="H101" s="7"/>
      <c r="I101" s="7"/>
      <c r="J101" s="7"/>
      <c r="K101" s="7"/>
      <c r="L101" s="7"/>
      <c r="M101" s="7"/>
      <c r="N101" s="7"/>
      <c r="O101" s="7"/>
      <c r="P101" s="7"/>
      <c r="Q101" s="7"/>
      <c r="R101" s="7"/>
      <c r="S101" s="7"/>
      <c r="T101" s="7"/>
      <c r="U101" s="7"/>
      <c r="V101" s="7"/>
      <c r="W101" s="7"/>
      <c r="X101" s="7"/>
      <c r="Y101" s="7"/>
      <c r="Z101" s="6"/>
    </row>
    <row r="102" spans="1:26" x14ac:dyDescent="0.15">
      <c r="A102" s="4"/>
      <c r="B102" s="7"/>
      <c r="C102" s="7"/>
      <c r="D102" s="5"/>
      <c r="E102" s="7"/>
      <c r="F102" s="5"/>
      <c r="G102" s="7"/>
      <c r="H102" s="7"/>
      <c r="I102" s="7"/>
      <c r="J102" s="7"/>
      <c r="K102" s="7"/>
      <c r="L102" s="7"/>
      <c r="M102" s="7"/>
      <c r="N102" s="7"/>
      <c r="O102" s="7"/>
      <c r="P102" s="7"/>
      <c r="Q102" s="7"/>
      <c r="R102" s="7"/>
      <c r="S102" s="7"/>
      <c r="T102" s="7"/>
      <c r="U102" s="7"/>
      <c r="V102" s="7"/>
      <c r="W102" s="7"/>
      <c r="X102" s="7"/>
      <c r="Y102" s="7"/>
      <c r="Z102" s="6"/>
    </row>
    <row r="103" spans="1:26" x14ac:dyDescent="0.15">
      <c r="A103" s="4"/>
      <c r="B103" s="7"/>
      <c r="C103" s="7"/>
      <c r="D103" s="5"/>
      <c r="E103" s="7"/>
      <c r="F103" s="5"/>
      <c r="G103" s="7"/>
      <c r="H103" s="7"/>
      <c r="I103" s="7"/>
      <c r="J103" s="7"/>
      <c r="K103" s="7"/>
      <c r="L103" s="7"/>
      <c r="M103" s="7"/>
      <c r="N103" s="7"/>
      <c r="O103" s="7"/>
      <c r="P103" s="7"/>
      <c r="Q103" s="7"/>
      <c r="R103" s="7"/>
      <c r="S103" s="7"/>
      <c r="T103" s="7"/>
      <c r="U103" s="7"/>
      <c r="V103" s="7"/>
      <c r="W103" s="7"/>
      <c r="X103" s="7"/>
      <c r="Y103" s="7"/>
      <c r="Z103" s="6"/>
    </row>
    <row r="104" spans="1:26" x14ac:dyDescent="0.15">
      <c r="A104" s="4"/>
      <c r="B104" s="7"/>
      <c r="C104" s="7"/>
      <c r="D104" s="5"/>
      <c r="E104" s="7"/>
      <c r="F104" s="5"/>
      <c r="G104" s="7"/>
      <c r="H104" s="7"/>
      <c r="I104" s="7"/>
      <c r="J104" s="7"/>
      <c r="K104" s="7"/>
      <c r="L104" s="7"/>
      <c r="M104" s="7"/>
      <c r="N104" s="7"/>
      <c r="O104" s="7"/>
      <c r="P104" s="7"/>
      <c r="Q104" s="7"/>
      <c r="R104" s="7"/>
      <c r="S104" s="7"/>
      <c r="T104" s="7"/>
      <c r="U104" s="7"/>
      <c r="V104" s="7"/>
      <c r="W104" s="7"/>
      <c r="X104" s="7"/>
      <c r="Y104" s="7"/>
      <c r="Z104" s="6"/>
    </row>
    <row r="105" spans="1:26" x14ac:dyDescent="0.15">
      <c r="A105" s="4"/>
      <c r="B105" s="7"/>
      <c r="C105" s="7"/>
      <c r="D105" s="5"/>
      <c r="E105" s="7"/>
      <c r="F105" s="5"/>
      <c r="G105" s="7"/>
      <c r="H105" s="7"/>
      <c r="I105" s="7"/>
      <c r="J105" s="7"/>
      <c r="K105" s="7"/>
      <c r="L105" s="7"/>
      <c r="M105" s="7"/>
      <c r="N105" s="7"/>
      <c r="O105" s="7"/>
      <c r="P105" s="7"/>
      <c r="Q105" s="7"/>
      <c r="R105" s="7"/>
      <c r="S105" s="7"/>
      <c r="T105" s="7"/>
      <c r="U105" s="7"/>
      <c r="V105" s="7"/>
      <c r="W105" s="7"/>
      <c r="X105" s="7"/>
      <c r="Y105" s="7"/>
      <c r="Z105" s="6"/>
    </row>
    <row r="106" spans="1:26" x14ac:dyDescent="0.15">
      <c r="A106" s="4"/>
      <c r="B106" s="7"/>
      <c r="C106" s="7"/>
      <c r="D106" s="5"/>
      <c r="E106" s="7"/>
      <c r="F106" s="5"/>
      <c r="G106" s="7"/>
      <c r="H106" s="7"/>
      <c r="I106" s="7"/>
      <c r="J106" s="7"/>
      <c r="K106" s="7"/>
      <c r="L106" s="7"/>
      <c r="M106" s="7"/>
      <c r="N106" s="7"/>
      <c r="O106" s="7"/>
      <c r="P106" s="7"/>
      <c r="Q106" s="7"/>
      <c r="R106" s="7"/>
      <c r="S106" s="7"/>
      <c r="T106" s="7"/>
      <c r="U106" s="7"/>
      <c r="V106" s="7"/>
      <c r="W106" s="7"/>
      <c r="X106" s="7"/>
      <c r="Y106" s="7"/>
      <c r="Z106" s="6"/>
    </row>
    <row r="107" spans="1:26" x14ac:dyDescent="0.15">
      <c r="A107" s="4"/>
      <c r="B107" s="7"/>
      <c r="C107" s="7"/>
      <c r="D107" s="5"/>
      <c r="E107" s="7"/>
      <c r="F107" s="5"/>
      <c r="G107" s="7"/>
      <c r="H107" s="7"/>
      <c r="I107" s="7"/>
      <c r="J107" s="7"/>
      <c r="K107" s="7"/>
      <c r="L107" s="7"/>
      <c r="M107" s="7"/>
      <c r="N107" s="7"/>
      <c r="O107" s="7"/>
      <c r="P107" s="7"/>
      <c r="Q107" s="7"/>
      <c r="R107" s="7"/>
      <c r="S107" s="7"/>
      <c r="T107" s="7"/>
      <c r="U107" s="7"/>
      <c r="V107" s="7"/>
      <c r="W107" s="7"/>
      <c r="X107" s="7"/>
      <c r="Y107" s="7"/>
      <c r="Z107" s="6"/>
    </row>
    <row r="108" spans="1:26" x14ac:dyDescent="0.15">
      <c r="A108" s="4"/>
      <c r="B108" s="7"/>
      <c r="C108" s="7"/>
      <c r="D108" s="5"/>
      <c r="E108" s="7"/>
      <c r="F108" s="5"/>
      <c r="G108" s="7"/>
      <c r="H108" s="7"/>
      <c r="I108" s="7"/>
      <c r="J108" s="7"/>
      <c r="K108" s="7"/>
      <c r="L108" s="7"/>
      <c r="M108" s="7"/>
      <c r="N108" s="7"/>
      <c r="O108" s="7"/>
      <c r="P108" s="7"/>
      <c r="Q108" s="7"/>
      <c r="R108" s="7"/>
      <c r="S108" s="7"/>
      <c r="T108" s="7"/>
      <c r="U108" s="7"/>
      <c r="V108" s="7"/>
      <c r="W108" s="7"/>
      <c r="X108" s="7"/>
      <c r="Y108" s="7"/>
      <c r="Z108" s="6"/>
    </row>
    <row r="109" spans="1:26" x14ac:dyDescent="0.15">
      <c r="A109" s="4"/>
      <c r="B109" s="7"/>
      <c r="C109" s="7"/>
      <c r="D109" s="5"/>
      <c r="E109" s="7"/>
      <c r="F109" s="5"/>
      <c r="G109" s="7"/>
      <c r="H109" s="7"/>
      <c r="I109" s="7"/>
      <c r="J109" s="7"/>
      <c r="K109" s="7"/>
      <c r="L109" s="7"/>
      <c r="M109" s="7"/>
      <c r="N109" s="7"/>
      <c r="O109" s="7"/>
      <c r="P109" s="7"/>
      <c r="Q109" s="7"/>
      <c r="R109" s="7"/>
      <c r="S109" s="7"/>
      <c r="T109" s="7"/>
      <c r="U109" s="7"/>
      <c r="V109" s="7"/>
      <c r="W109" s="7"/>
      <c r="X109" s="7"/>
      <c r="Y109" s="7"/>
      <c r="Z109" s="6"/>
    </row>
    <row r="110" spans="1:26" x14ac:dyDescent="0.15">
      <c r="A110" s="4"/>
      <c r="B110" s="7"/>
      <c r="C110" s="7"/>
      <c r="D110" s="5"/>
      <c r="E110" s="7"/>
      <c r="F110" s="5"/>
      <c r="G110" s="7"/>
      <c r="H110" s="7"/>
      <c r="I110" s="7"/>
      <c r="J110" s="7"/>
      <c r="K110" s="7"/>
      <c r="L110" s="7"/>
      <c r="M110" s="7"/>
      <c r="N110" s="7"/>
      <c r="O110" s="7"/>
      <c r="P110" s="7"/>
      <c r="Q110" s="7"/>
      <c r="R110" s="7"/>
      <c r="S110" s="7"/>
      <c r="T110" s="7"/>
      <c r="U110" s="7"/>
      <c r="V110" s="7"/>
      <c r="W110" s="7"/>
      <c r="X110" s="7"/>
      <c r="Y110" s="7"/>
      <c r="Z110" s="6"/>
    </row>
    <row r="111" spans="1:26" x14ac:dyDescent="0.15">
      <c r="A111" s="4"/>
      <c r="B111" s="7"/>
      <c r="C111" s="7"/>
      <c r="D111" s="5"/>
      <c r="E111" s="7"/>
      <c r="F111" s="5"/>
      <c r="G111" s="7"/>
      <c r="H111" s="7"/>
      <c r="I111" s="7"/>
      <c r="J111" s="7"/>
      <c r="K111" s="7"/>
      <c r="L111" s="7"/>
      <c r="M111" s="7"/>
      <c r="N111" s="7"/>
      <c r="O111" s="7"/>
      <c r="P111" s="7"/>
      <c r="Q111" s="7"/>
      <c r="R111" s="7"/>
      <c r="S111" s="7"/>
      <c r="T111" s="7"/>
      <c r="U111" s="7"/>
      <c r="V111" s="7"/>
      <c r="W111" s="7"/>
      <c r="X111" s="7"/>
      <c r="Y111" s="7"/>
      <c r="Z111" s="6"/>
    </row>
    <row r="112" spans="1:26" x14ac:dyDescent="0.15">
      <c r="A112" s="4"/>
      <c r="B112" s="7"/>
      <c r="C112" s="7"/>
      <c r="D112" s="5"/>
      <c r="E112" s="7"/>
      <c r="F112" s="5"/>
      <c r="G112" s="7"/>
      <c r="H112" s="7"/>
      <c r="I112" s="7"/>
      <c r="J112" s="7"/>
      <c r="K112" s="7"/>
      <c r="L112" s="7"/>
      <c r="M112" s="7"/>
      <c r="N112" s="7"/>
      <c r="O112" s="7"/>
      <c r="P112" s="7"/>
      <c r="Q112" s="7"/>
      <c r="R112" s="7"/>
      <c r="S112" s="7"/>
      <c r="T112" s="7"/>
      <c r="U112" s="7"/>
      <c r="V112" s="7"/>
      <c r="W112" s="7"/>
      <c r="X112" s="7"/>
      <c r="Y112" s="7"/>
      <c r="Z112" s="6"/>
    </row>
    <row r="113" spans="1:26" x14ac:dyDescent="0.15">
      <c r="A113" s="4"/>
      <c r="B113" s="7"/>
      <c r="C113" s="7"/>
      <c r="D113" s="5"/>
      <c r="E113" s="7"/>
      <c r="F113" s="5"/>
      <c r="G113" s="7"/>
      <c r="H113" s="7"/>
      <c r="I113" s="7"/>
      <c r="J113" s="7"/>
      <c r="K113" s="7"/>
      <c r="L113" s="7"/>
      <c r="M113" s="7"/>
      <c r="N113" s="7"/>
      <c r="O113" s="7"/>
      <c r="P113" s="7"/>
      <c r="Q113" s="7"/>
      <c r="R113" s="7"/>
      <c r="S113" s="7"/>
      <c r="T113" s="7"/>
      <c r="U113" s="7"/>
      <c r="V113" s="7"/>
      <c r="W113" s="7"/>
      <c r="X113" s="7"/>
      <c r="Y113" s="7"/>
      <c r="Z113" s="6"/>
    </row>
    <row r="114" spans="1:26" x14ac:dyDescent="0.15">
      <c r="A114" s="4"/>
      <c r="B114" s="7"/>
      <c r="C114" s="7"/>
      <c r="D114" s="5"/>
      <c r="E114" s="7"/>
      <c r="F114" s="5"/>
      <c r="G114" s="7"/>
      <c r="H114" s="7"/>
      <c r="I114" s="7"/>
      <c r="J114" s="7"/>
      <c r="K114" s="7"/>
      <c r="L114" s="7"/>
      <c r="M114" s="7"/>
      <c r="N114" s="7"/>
      <c r="O114" s="7"/>
      <c r="P114" s="7"/>
      <c r="Q114" s="7"/>
      <c r="R114" s="7"/>
      <c r="S114" s="7"/>
      <c r="T114" s="7"/>
      <c r="U114" s="7"/>
      <c r="V114" s="7"/>
      <c r="W114" s="7"/>
      <c r="X114" s="7"/>
      <c r="Y114" s="7"/>
      <c r="Z114" s="6"/>
    </row>
    <row r="115" spans="1:26" x14ac:dyDescent="0.15">
      <c r="A115" s="4"/>
      <c r="B115" s="7"/>
      <c r="C115" s="7"/>
      <c r="D115" s="5"/>
      <c r="E115" s="7"/>
      <c r="F115" s="5"/>
      <c r="G115" s="7"/>
      <c r="H115" s="7"/>
      <c r="I115" s="7"/>
      <c r="J115" s="7"/>
      <c r="K115" s="7"/>
      <c r="L115" s="7"/>
      <c r="M115" s="7"/>
      <c r="N115" s="7"/>
      <c r="O115" s="7"/>
      <c r="P115" s="7"/>
      <c r="Q115" s="7"/>
      <c r="R115" s="7"/>
      <c r="S115" s="7"/>
      <c r="T115" s="7"/>
      <c r="U115" s="7"/>
      <c r="V115" s="7"/>
      <c r="W115" s="7"/>
      <c r="X115" s="7"/>
      <c r="Y115" s="7"/>
      <c r="Z115" s="6"/>
    </row>
    <row r="116" spans="1:26" x14ac:dyDescent="0.15">
      <c r="A116" s="4"/>
      <c r="B116" s="7"/>
      <c r="C116" s="7"/>
      <c r="D116" s="5"/>
      <c r="E116" s="7"/>
      <c r="F116" s="5"/>
      <c r="G116" s="7"/>
      <c r="H116" s="7"/>
      <c r="I116" s="7"/>
      <c r="J116" s="7"/>
      <c r="K116" s="7"/>
      <c r="L116" s="7"/>
      <c r="M116" s="7"/>
      <c r="N116" s="7"/>
      <c r="O116" s="7"/>
      <c r="P116" s="7"/>
      <c r="Q116" s="7"/>
      <c r="R116" s="7"/>
      <c r="S116" s="7"/>
      <c r="T116" s="7"/>
      <c r="U116" s="7"/>
      <c r="V116" s="7"/>
      <c r="W116" s="7"/>
      <c r="X116" s="7"/>
      <c r="Y116" s="7"/>
      <c r="Z116" s="6"/>
    </row>
    <row r="117" spans="1:26" x14ac:dyDescent="0.15">
      <c r="A117" s="4"/>
      <c r="B117" s="7"/>
      <c r="C117" s="7"/>
      <c r="D117" s="5"/>
      <c r="E117" s="7"/>
      <c r="F117" s="5"/>
      <c r="G117" s="7"/>
      <c r="H117" s="7"/>
      <c r="I117" s="7"/>
      <c r="J117" s="7"/>
      <c r="K117" s="7"/>
      <c r="L117" s="7"/>
      <c r="M117" s="7"/>
      <c r="N117" s="7"/>
      <c r="O117" s="7"/>
      <c r="P117" s="7"/>
      <c r="Q117" s="7"/>
      <c r="R117" s="7"/>
      <c r="S117" s="7"/>
      <c r="T117" s="7"/>
      <c r="U117" s="7"/>
      <c r="V117" s="7"/>
      <c r="W117" s="7"/>
      <c r="X117" s="7"/>
      <c r="Y117" s="7"/>
      <c r="Z117" s="6"/>
    </row>
    <row r="118" spans="1:26" x14ac:dyDescent="0.15">
      <c r="A118" s="4"/>
      <c r="B118" s="7"/>
      <c r="C118" s="7"/>
      <c r="D118" s="5"/>
      <c r="E118" s="7"/>
      <c r="F118" s="5"/>
      <c r="G118" s="7"/>
      <c r="H118" s="7"/>
      <c r="I118" s="7"/>
      <c r="J118" s="7"/>
      <c r="K118" s="7"/>
      <c r="L118" s="7"/>
      <c r="M118" s="7"/>
      <c r="N118" s="7"/>
      <c r="O118" s="7"/>
      <c r="P118" s="7"/>
      <c r="Q118" s="7"/>
      <c r="R118" s="7"/>
      <c r="S118" s="7"/>
      <c r="T118" s="7"/>
      <c r="U118" s="7"/>
      <c r="V118" s="7"/>
      <c r="W118" s="7"/>
      <c r="X118" s="7"/>
      <c r="Y118" s="7"/>
      <c r="Z118" s="6"/>
    </row>
    <row r="119" spans="1:26" x14ac:dyDescent="0.15">
      <c r="A119" s="4"/>
      <c r="B119" s="7"/>
      <c r="C119" s="7"/>
      <c r="D119" s="5"/>
      <c r="E119" s="7"/>
      <c r="F119" s="5"/>
      <c r="G119" s="7"/>
      <c r="H119" s="7"/>
      <c r="I119" s="7"/>
      <c r="J119" s="7"/>
      <c r="K119" s="7"/>
      <c r="L119" s="7"/>
      <c r="M119" s="7"/>
      <c r="N119" s="7"/>
      <c r="O119" s="7"/>
      <c r="P119" s="7"/>
      <c r="Q119" s="7"/>
      <c r="R119" s="7"/>
      <c r="S119" s="7"/>
      <c r="T119" s="7"/>
      <c r="U119" s="7"/>
      <c r="V119" s="7"/>
      <c r="W119" s="7"/>
      <c r="X119" s="7"/>
      <c r="Y119" s="7"/>
      <c r="Z119" s="6"/>
    </row>
    <row r="120" spans="1:26" x14ac:dyDescent="0.15">
      <c r="A120" s="4"/>
      <c r="B120" s="7"/>
      <c r="C120" s="7"/>
      <c r="D120" s="5"/>
      <c r="E120" s="7"/>
      <c r="F120" s="5"/>
      <c r="G120" s="7"/>
      <c r="H120" s="7"/>
      <c r="I120" s="7"/>
      <c r="J120" s="7"/>
      <c r="K120" s="7"/>
      <c r="L120" s="7"/>
      <c r="M120" s="7"/>
      <c r="N120" s="7"/>
      <c r="O120" s="7"/>
      <c r="P120" s="7"/>
      <c r="Q120" s="7"/>
      <c r="R120" s="7"/>
      <c r="S120" s="7"/>
      <c r="T120" s="7"/>
      <c r="U120" s="7"/>
      <c r="V120" s="7"/>
      <c r="W120" s="7"/>
      <c r="X120" s="7"/>
      <c r="Y120" s="7"/>
      <c r="Z120" s="6"/>
    </row>
    <row r="121" spans="1:26" x14ac:dyDescent="0.15">
      <c r="A121" s="4"/>
      <c r="B121" s="7"/>
      <c r="C121" s="7"/>
      <c r="D121" s="5"/>
      <c r="E121" s="7"/>
      <c r="F121" s="5"/>
      <c r="G121" s="7"/>
      <c r="H121" s="7"/>
      <c r="I121" s="7"/>
      <c r="J121" s="7"/>
      <c r="K121" s="7"/>
      <c r="L121" s="7"/>
      <c r="M121" s="7"/>
      <c r="N121" s="7"/>
      <c r="O121" s="7"/>
      <c r="P121" s="7"/>
      <c r="Q121" s="7"/>
      <c r="R121" s="7"/>
      <c r="S121" s="7"/>
      <c r="T121" s="7"/>
      <c r="U121" s="7"/>
      <c r="V121" s="7"/>
      <c r="W121" s="7"/>
      <c r="X121" s="7"/>
      <c r="Y121" s="7"/>
      <c r="Z121" s="6"/>
    </row>
    <row r="122" spans="1:26" x14ac:dyDescent="0.15">
      <c r="A122" s="4"/>
      <c r="B122" s="7"/>
      <c r="C122" s="7"/>
      <c r="D122" s="5"/>
      <c r="E122" s="7"/>
      <c r="F122" s="5"/>
      <c r="G122" s="7"/>
      <c r="H122" s="7"/>
      <c r="I122" s="7"/>
      <c r="J122" s="7"/>
      <c r="K122" s="7"/>
      <c r="L122" s="7"/>
      <c r="M122" s="7"/>
      <c r="N122" s="7"/>
      <c r="O122" s="7"/>
      <c r="P122" s="7"/>
      <c r="Q122" s="7"/>
      <c r="R122" s="7"/>
      <c r="S122" s="7"/>
      <c r="T122" s="7"/>
      <c r="U122" s="7"/>
      <c r="V122" s="7"/>
      <c r="W122" s="7"/>
      <c r="X122" s="7"/>
      <c r="Y122" s="7"/>
      <c r="Z122" s="6"/>
    </row>
    <row r="123" spans="1:26" x14ac:dyDescent="0.15">
      <c r="A123" s="4"/>
      <c r="B123" s="7"/>
      <c r="C123" s="7"/>
      <c r="D123" s="5"/>
      <c r="E123" s="7"/>
      <c r="F123" s="5"/>
      <c r="G123" s="7"/>
      <c r="H123" s="7"/>
      <c r="I123" s="7"/>
      <c r="J123" s="7"/>
      <c r="K123" s="7"/>
      <c r="L123" s="7"/>
      <c r="M123" s="7"/>
      <c r="N123" s="7"/>
      <c r="O123" s="7"/>
      <c r="P123" s="7"/>
      <c r="Q123" s="7"/>
      <c r="R123" s="7"/>
      <c r="S123" s="7"/>
      <c r="T123" s="7"/>
      <c r="U123" s="7"/>
      <c r="V123" s="7"/>
      <c r="W123" s="7"/>
      <c r="X123" s="7"/>
      <c r="Y123" s="7"/>
      <c r="Z123" s="6"/>
    </row>
    <row r="124" spans="1:26" x14ac:dyDescent="0.15">
      <c r="A124" s="4"/>
      <c r="B124" s="7"/>
      <c r="C124" s="7"/>
      <c r="D124" s="5"/>
      <c r="E124" s="7"/>
      <c r="F124" s="5"/>
      <c r="G124" s="7"/>
      <c r="H124" s="7"/>
      <c r="I124" s="7"/>
      <c r="J124" s="7"/>
      <c r="K124" s="7"/>
      <c r="L124" s="7"/>
      <c r="M124" s="7"/>
      <c r="N124" s="7"/>
      <c r="O124" s="7"/>
      <c r="P124" s="7"/>
      <c r="Q124" s="7"/>
      <c r="R124" s="7"/>
      <c r="S124" s="7"/>
      <c r="T124" s="7"/>
      <c r="U124" s="7"/>
      <c r="V124" s="7"/>
      <c r="W124" s="7"/>
      <c r="X124" s="7"/>
      <c r="Y124" s="7"/>
      <c r="Z124" s="6"/>
    </row>
    <row r="125" spans="1:26" x14ac:dyDescent="0.15">
      <c r="A125" s="4"/>
      <c r="B125" s="7"/>
      <c r="C125" s="7"/>
      <c r="D125" s="5"/>
      <c r="E125" s="7"/>
      <c r="F125" s="5"/>
      <c r="G125" s="7"/>
      <c r="H125" s="7"/>
      <c r="I125" s="7"/>
      <c r="J125" s="7"/>
      <c r="K125" s="7"/>
      <c r="L125" s="7"/>
      <c r="M125" s="7"/>
      <c r="N125" s="7"/>
      <c r="O125" s="7"/>
      <c r="P125" s="7"/>
      <c r="Q125" s="7"/>
      <c r="R125" s="7"/>
      <c r="S125" s="7"/>
      <c r="T125" s="7"/>
      <c r="U125" s="7"/>
      <c r="V125" s="7"/>
      <c r="W125" s="7"/>
      <c r="X125" s="7"/>
      <c r="Y125" s="7"/>
      <c r="Z125" s="6"/>
    </row>
    <row r="126" spans="1:26" x14ac:dyDescent="0.15">
      <c r="A126" s="4"/>
      <c r="B126" s="7"/>
      <c r="C126" s="7"/>
      <c r="D126" s="5"/>
      <c r="E126" s="7"/>
      <c r="F126" s="5"/>
      <c r="G126" s="7"/>
      <c r="H126" s="7"/>
      <c r="I126" s="7"/>
      <c r="J126" s="7"/>
      <c r="K126" s="7"/>
      <c r="L126" s="7"/>
      <c r="M126" s="7"/>
      <c r="N126" s="7"/>
      <c r="O126" s="7"/>
      <c r="P126" s="7"/>
      <c r="Q126" s="7"/>
      <c r="R126" s="7"/>
      <c r="S126" s="7"/>
      <c r="T126" s="7"/>
      <c r="U126" s="7"/>
      <c r="V126" s="7"/>
      <c r="W126" s="7"/>
      <c r="X126" s="7"/>
      <c r="Y126" s="7"/>
      <c r="Z126" s="6"/>
    </row>
    <row r="127" spans="1:26" x14ac:dyDescent="0.15">
      <c r="A127" s="4"/>
      <c r="B127" s="7"/>
      <c r="C127" s="7"/>
      <c r="D127" s="5"/>
      <c r="E127" s="7"/>
      <c r="F127" s="5"/>
      <c r="G127" s="7"/>
      <c r="H127" s="7"/>
      <c r="I127" s="7"/>
      <c r="J127" s="7"/>
      <c r="K127" s="7"/>
      <c r="L127" s="7"/>
      <c r="M127" s="7"/>
      <c r="N127" s="7"/>
      <c r="O127" s="7"/>
      <c r="P127" s="7"/>
      <c r="Q127" s="7"/>
      <c r="R127" s="7"/>
      <c r="S127" s="7"/>
      <c r="T127" s="7"/>
      <c r="U127" s="7"/>
      <c r="V127" s="7"/>
      <c r="W127" s="7"/>
      <c r="X127" s="7"/>
      <c r="Y127" s="7"/>
      <c r="Z127" s="6"/>
    </row>
    <row r="128" spans="1:26" x14ac:dyDescent="0.15">
      <c r="A128" s="4"/>
      <c r="B128" s="7"/>
      <c r="C128" s="7"/>
      <c r="D128" s="5"/>
      <c r="E128" s="7"/>
      <c r="F128" s="5"/>
      <c r="G128" s="7"/>
      <c r="H128" s="7"/>
      <c r="I128" s="7"/>
      <c r="J128" s="7"/>
      <c r="K128" s="7"/>
      <c r="L128" s="7"/>
      <c r="M128" s="7"/>
      <c r="N128" s="7"/>
      <c r="O128" s="7"/>
      <c r="P128" s="7"/>
      <c r="Q128" s="7"/>
      <c r="R128" s="7"/>
      <c r="S128" s="7"/>
      <c r="T128" s="7"/>
      <c r="U128" s="7"/>
      <c r="V128" s="7"/>
      <c r="W128" s="7"/>
      <c r="X128" s="7"/>
      <c r="Y128" s="7"/>
      <c r="Z128" s="6"/>
    </row>
    <row r="129" spans="1:26" x14ac:dyDescent="0.15">
      <c r="A129" s="4"/>
      <c r="B129" s="7"/>
      <c r="C129" s="7"/>
      <c r="D129" s="5"/>
      <c r="E129" s="7"/>
      <c r="F129" s="5"/>
      <c r="G129" s="7"/>
      <c r="H129" s="7"/>
      <c r="I129" s="7"/>
      <c r="J129" s="7"/>
      <c r="K129" s="7"/>
      <c r="L129" s="7"/>
      <c r="M129" s="7"/>
      <c r="N129" s="7"/>
      <c r="O129" s="7"/>
      <c r="P129" s="7"/>
      <c r="Q129" s="7"/>
      <c r="R129" s="7"/>
      <c r="S129" s="7"/>
      <c r="T129" s="7"/>
      <c r="U129" s="7"/>
      <c r="V129" s="7"/>
      <c r="W129" s="7"/>
      <c r="X129" s="7"/>
      <c r="Y129" s="7"/>
      <c r="Z129" s="6"/>
    </row>
    <row r="130" spans="1:26" x14ac:dyDescent="0.15">
      <c r="A130" s="4"/>
      <c r="B130" s="7"/>
      <c r="C130" s="7"/>
      <c r="D130" s="5"/>
      <c r="E130" s="7"/>
      <c r="F130" s="5"/>
      <c r="G130" s="7"/>
      <c r="H130" s="7"/>
      <c r="I130" s="7"/>
      <c r="J130" s="7"/>
      <c r="K130" s="7"/>
      <c r="L130" s="7"/>
      <c r="M130" s="7"/>
      <c r="N130" s="7"/>
      <c r="O130" s="7"/>
      <c r="P130" s="7"/>
      <c r="Q130" s="7"/>
      <c r="R130" s="7"/>
      <c r="S130" s="7"/>
      <c r="T130" s="7"/>
      <c r="U130" s="7"/>
      <c r="V130" s="7"/>
      <c r="W130" s="7"/>
      <c r="X130" s="7"/>
      <c r="Y130" s="7"/>
      <c r="Z130" s="6"/>
    </row>
    <row r="131" spans="1:26" x14ac:dyDescent="0.15">
      <c r="A131" s="4"/>
      <c r="B131" s="7"/>
      <c r="C131" s="7"/>
      <c r="D131" s="5"/>
      <c r="E131" s="7"/>
      <c r="F131" s="5"/>
      <c r="G131" s="7"/>
      <c r="H131" s="7"/>
      <c r="I131" s="7"/>
      <c r="J131" s="7"/>
      <c r="K131" s="7"/>
      <c r="L131" s="7"/>
      <c r="M131" s="7"/>
      <c r="N131" s="7"/>
      <c r="O131" s="7"/>
      <c r="P131" s="7"/>
      <c r="Q131" s="7"/>
      <c r="R131" s="7"/>
      <c r="S131" s="7"/>
      <c r="T131" s="7"/>
      <c r="U131" s="7"/>
      <c r="V131" s="7"/>
      <c r="W131" s="7"/>
      <c r="X131" s="7"/>
      <c r="Y131" s="7"/>
      <c r="Z131" s="6"/>
    </row>
    <row r="132" spans="1:26" x14ac:dyDescent="0.15">
      <c r="A132" s="4"/>
      <c r="B132" s="7"/>
      <c r="C132" s="7"/>
      <c r="D132" s="5"/>
      <c r="E132" s="7"/>
      <c r="F132" s="5"/>
      <c r="G132" s="7"/>
      <c r="H132" s="7"/>
      <c r="I132" s="7"/>
      <c r="J132" s="7"/>
      <c r="K132" s="7"/>
      <c r="L132" s="7"/>
      <c r="M132" s="7"/>
      <c r="N132" s="7"/>
      <c r="O132" s="7"/>
      <c r="P132" s="7"/>
      <c r="Q132" s="7"/>
      <c r="R132" s="7"/>
      <c r="S132" s="7"/>
      <c r="T132" s="7"/>
      <c r="U132" s="7"/>
      <c r="V132" s="7"/>
      <c r="W132" s="7"/>
      <c r="X132" s="7"/>
      <c r="Y132" s="7"/>
      <c r="Z132" s="6"/>
    </row>
    <row r="133" spans="1:26" x14ac:dyDescent="0.15">
      <c r="A133" s="4"/>
      <c r="B133" s="7"/>
      <c r="C133" s="7"/>
      <c r="D133" s="5"/>
      <c r="E133" s="7"/>
      <c r="F133" s="5"/>
      <c r="G133" s="7"/>
      <c r="H133" s="7"/>
      <c r="I133" s="7"/>
      <c r="J133" s="7"/>
      <c r="K133" s="7"/>
      <c r="L133" s="7"/>
      <c r="M133" s="7"/>
      <c r="N133" s="7"/>
      <c r="O133" s="7"/>
      <c r="P133" s="7"/>
      <c r="Q133" s="7"/>
      <c r="R133" s="7"/>
      <c r="S133" s="7"/>
      <c r="T133" s="7"/>
      <c r="U133" s="7"/>
      <c r="V133" s="7"/>
      <c r="W133" s="7"/>
      <c r="X133" s="7"/>
      <c r="Y133" s="7"/>
      <c r="Z133" s="6"/>
    </row>
    <row r="134" spans="1:26" x14ac:dyDescent="0.15">
      <c r="A134" s="4"/>
      <c r="B134" s="7"/>
      <c r="C134" s="7"/>
      <c r="D134" s="5"/>
      <c r="E134" s="7"/>
      <c r="F134" s="5"/>
      <c r="G134" s="7"/>
      <c r="H134" s="7"/>
      <c r="I134" s="7"/>
      <c r="J134" s="7"/>
      <c r="K134" s="7"/>
      <c r="L134" s="7"/>
      <c r="M134" s="7"/>
      <c r="N134" s="7"/>
      <c r="O134" s="7"/>
      <c r="P134" s="7"/>
      <c r="Q134" s="7"/>
      <c r="R134" s="7"/>
      <c r="S134" s="7"/>
      <c r="T134" s="7"/>
      <c r="U134" s="7"/>
      <c r="V134" s="7"/>
      <c r="W134" s="7"/>
      <c r="X134" s="7"/>
      <c r="Y134" s="7"/>
      <c r="Z134" s="6"/>
    </row>
    <row r="135" spans="1:26" x14ac:dyDescent="0.15">
      <c r="A135" s="4"/>
      <c r="B135" s="7"/>
      <c r="C135" s="7"/>
      <c r="D135" s="5"/>
      <c r="E135" s="7"/>
      <c r="F135" s="5"/>
      <c r="G135" s="7"/>
      <c r="H135" s="7"/>
      <c r="I135" s="7"/>
      <c r="J135" s="7"/>
      <c r="K135" s="7"/>
      <c r="L135" s="7"/>
      <c r="M135" s="7"/>
      <c r="N135" s="7"/>
      <c r="O135" s="7"/>
      <c r="P135" s="7"/>
      <c r="Q135" s="7"/>
      <c r="R135" s="7"/>
      <c r="S135" s="7"/>
      <c r="T135" s="7"/>
      <c r="U135" s="7"/>
      <c r="V135" s="7"/>
      <c r="W135" s="7"/>
      <c r="X135" s="7"/>
      <c r="Y135" s="7"/>
      <c r="Z135" s="6"/>
    </row>
    <row r="136" spans="1:26" x14ac:dyDescent="0.15">
      <c r="A136" s="4"/>
      <c r="B136" s="7"/>
      <c r="C136" s="7"/>
      <c r="D136" s="5"/>
      <c r="E136" s="7"/>
      <c r="F136" s="5"/>
      <c r="G136" s="7"/>
      <c r="H136" s="7"/>
      <c r="I136" s="7"/>
      <c r="J136" s="7"/>
      <c r="K136" s="7"/>
      <c r="L136" s="7"/>
      <c r="M136" s="7"/>
      <c r="N136" s="7"/>
      <c r="O136" s="7"/>
      <c r="P136" s="7"/>
      <c r="Q136" s="7"/>
      <c r="R136" s="7"/>
      <c r="S136" s="7"/>
      <c r="T136" s="7"/>
      <c r="U136" s="7"/>
      <c r="V136" s="7"/>
      <c r="W136" s="7"/>
      <c r="X136" s="7"/>
      <c r="Y136" s="7"/>
      <c r="Z136" s="6"/>
    </row>
    <row r="137" spans="1:26" x14ac:dyDescent="0.15">
      <c r="A137" s="4"/>
      <c r="B137" s="7"/>
      <c r="C137" s="7"/>
      <c r="D137" s="5"/>
      <c r="E137" s="7"/>
      <c r="F137" s="5"/>
      <c r="G137" s="7"/>
      <c r="H137" s="7"/>
      <c r="I137" s="7"/>
      <c r="J137" s="7"/>
      <c r="K137" s="7"/>
      <c r="L137" s="7"/>
      <c r="M137" s="7"/>
      <c r="N137" s="7"/>
      <c r="O137" s="7"/>
      <c r="P137" s="7"/>
      <c r="Q137" s="7"/>
      <c r="R137" s="7"/>
      <c r="S137" s="7"/>
      <c r="T137" s="7"/>
      <c r="U137" s="7"/>
      <c r="V137" s="7"/>
      <c r="W137" s="7"/>
      <c r="X137" s="7"/>
      <c r="Y137" s="7"/>
      <c r="Z137" s="6"/>
    </row>
    <row r="138" spans="1:26" x14ac:dyDescent="0.15">
      <c r="A138" s="4"/>
      <c r="B138" s="7"/>
      <c r="C138" s="7"/>
      <c r="D138" s="5"/>
      <c r="E138" s="7"/>
      <c r="F138" s="5"/>
      <c r="G138" s="7"/>
      <c r="H138" s="7"/>
      <c r="I138" s="7"/>
      <c r="J138" s="7"/>
      <c r="K138" s="7"/>
      <c r="L138" s="7"/>
      <c r="M138" s="7"/>
      <c r="N138" s="7"/>
      <c r="O138" s="7"/>
      <c r="P138" s="7"/>
      <c r="Q138" s="7"/>
      <c r="R138" s="7"/>
      <c r="S138" s="7"/>
      <c r="T138" s="7"/>
      <c r="U138" s="7"/>
      <c r="V138" s="7"/>
      <c r="W138" s="7"/>
      <c r="X138" s="7"/>
      <c r="Y138" s="7"/>
      <c r="Z138" s="6"/>
    </row>
    <row r="139" spans="1:26" x14ac:dyDescent="0.15">
      <c r="A139" s="4"/>
      <c r="B139" s="7"/>
      <c r="C139" s="7"/>
      <c r="D139" s="5"/>
      <c r="E139" s="7"/>
      <c r="F139" s="5"/>
      <c r="G139" s="7"/>
      <c r="H139" s="7"/>
      <c r="I139" s="7"/>
      <c r="J139" s="7"/>
      <c r="K139" s="7"/>
      <c r="L139" s="7"/>
      <c r="M139" s="7"/>
      <c r="N139" s="7"/>
      <c r="O139" s="7"/>
      <c r="P139" s="7"/>
      <c r="Q139" s="7"/>
      <c r="R139" s="7"/>
      <c r="S139" s="7"/>
      <c r="T139" s="7"/>
      <c r="U139" s="7"/>
      <c r="V139" s="7"/>
      <c r="W139" s="7"/>
      <c r="X139" s="7"/>
      <c r="Y139" s="7"/>
      <c r="Z139" s="6"/>
    </row>
    <row r="140" spans="1:26" x14ac:dyDescent="0.15">
      <c r="A140" s="4"/>
      <c r="B140" s="7"/>
      <c r="C140" s="7"/>
      <c r="D140" s="5"/>
      <c r="E140" s="7"/>
      <c r="F140" s="5"/>
      <c r="G140" s="7"/>
      <c r="H140" s="7"/>
      <c r="I140" s="7"/>
      <c r="J140" s="7"/>
      <c r="K140" s="7"/>
      <c r="L140" s="7"/>
      <c r="M140" s="7"/>
      <c r="N140" s="7"/>
      <c r="O140" s="7"/>
      <c r="P140" s="7"/>
      <c r="Q140" s="7"/>
      <c r="R140" s="7"/>
      <c r="S140" s="7"/>
      <c r="T140" s="7"/>
      <c r="U140" s="7"/>
      <c r="V140" s="7"/>
      <c r="W140" s="7"/>
      <c r="X140" s="7"/>
      <c r="Y140" s="7"/>
      <c r="Z140" s="6"/>
    </row>
    <row r="141" spans="1:26" x14ac:dyDescent="0.15">
      <c r="A141" s="4"/>
      <c r="B141" s="7"/>
      <c r="C141" s="7"/>
      <c r="D141" s="5"/>
      <c r="E141" s="7"/>
      <c r="F141" s="5"/>
      <c r="G141" s="7"/>
      <c r="H141" s="7"/>
      <c r="I141" s="7"/>
      <c r="J141" s="7"/>
      <c r="K141" s="7"/>
      <c r="L141" s="7"/>
      <c r="M141" s="7"/>
      <c r="N141" s="7"/>
      <c r="O141" s="7"/>
      <c r="P141" s="7"/>
      <c r="Q141" s="7"/>
      <c r="R141" s="7"/>
      <c r="S141" s="7"/>
      <c r="T141" s="7"/>
      <c r="U141" s="7"/>
      <c r="V141" s="7"/>
      <c r="W141" s="7"/>
      <c r="X141" s="7"/>
      <c r="Y141" s="7"/>
      <c r="Z141" s="6"/>
    </row>
    <row r="142" spans="1:26" x14ac:dyDescent="0.15">
      <c r="A142" s="4"/>
      <c r="B142" s="7"/>
      <c r="C142" s="7"/>
      <c r="D142" s="5"/>
      <c r="E142" s="7"/>
      <c r="F142" s="5"/>
      <c r="G142" s="7"/>
      <c r="H142" s="7"/>
      <c r="I142" s="7"/>
      <c r="J142" s="7"/>
      <c r="K142" s="7"/>
      <c r="L142" s="7"/>
      <c r="M142" s="7"/>
      <c r="N142" s="7"/>
      <c r="O142" s="7"/>
      <c r="P142" s="7"/>
      <c r="Q142" s="7"/>
      <c r="R142" s="7"/>
      <c r="S142" s="7"/>
      <c r="T142" s="7"/>
      <c r="U142" s="7"/>
      <c r="V142" s="7"/>
      <c r="W142" s="7"/>
      <c r="X142" s="7"/>
      <c r="Y142" s="7"/>
      <c r="Z142" s="6"/>
    </row>
    <row r="143" spans="1:26" x14ac:dyDescent="0.15">
      <c r="A143" s="4"/>
      <c r="B143" s="7"/>
      <c r="C143" s="7"/>
      <c r="D143" s="5"/>
      <c r="E143" s="7"/>
      <c r="F143" s="5"/>
      <c r="G143" s="7"/>
      <c r="H143" s="7"/>
      <c r="I143" s="7"/>
      <c r="J143" s="7"/>
      <c r="K143" s="7"/>
      <c r="L143" s="7"/>
      <c r="M143" s="7"/>
      <c r="N143" s="7"/>
      <c r="O143" s="7"/>
      <c r="P143" s="7"/>
      <c r="Q143" s="7"/>
      <c r="R143" s="7"/>
      <c r="S143" s="7"/>
      <c r="T143" s="7"/>
      <c r="U143" s="7"/>
      <c r="V143" s="7"/>
      <c r="W143" s="7"/>
      <c r="X143" s="7"/>
      <c r="Y143" s="7"/>
      <c r="Z143" s="6"/>
    </row>
    <row r="144" spans="1:26" x14ac:dyDescent="0.15">
      <c r="A144" s="4"/>
      <c r="B144" s="7"/>
      <c r="C144" s="7"/>
      <c r="D144" s="5"/>
      <c r="E144" s="7"/>
      <c r="F144" s="5"/>
      <c r="G144" s="7"/>
      <c r="H144" s="7"/>
      <c r="I144" s="7"/>
      <c r="J144" s="7"/>
      <c r="K144" s="7"/>
      <c r="L144" s="7"/>
      <c r="M144" s="7"/>
      <c r="N144" s="7"/>
      <c r="O144" s="7"/>
      <c r="P144" s="7"/>
      <c r="Q144" s="7"/>
      <c r="R144" s="7"/>
      <c r="S144" s="7"/>
      <c r="T144" s="7"/>
      <c r="U144" s="7"/>
      <c r="V144" s="7"/>
      <c r="W144" s="7"/>
      <c r="X144" s="7"/>
      <c r="Y144" s="7"/>
      <c r="Z144" s="6"/>
    </row>
    <row r="145" spans="1:28" x14ac:dyDescent="0.15">
      <c r="A145" s="4"/>
      <c r="B145" s="7"/>
      <c r="C145" s="7"/>
      <c r="D145" s="5"/>
      <c r="E145" s="7"/>
      <c r="F145" s="5"/>
      <c r="G145" s="7"/>
      <c r="H145" s="7"/>
      <c r="I145" s="7"/>
      <c r="J145" s="7"/>
      <c r="K145" s="7"/>
      <c r="L145" s="7"/>
      <c r="M145" s="7"/>
      <c r="N145" s="7"/>
      <c r="O145" s="7"/>
      <c r="P145" s="7"/>
      <c r="Q145" s="7"/>
      <c r="R145" s="7"/>
      <c r="S145" s="7"/>
      <c r="T145" s="7"/>
      <c r="U145" s="7"/>
      <c r="V145" s="7"/>
      <c r="W145" s="7"/>
      <c r="X145" s="7"/>
      <c r="Y145" s="7"/>
      <c r="Z145" s="6"/>
    </row>
    <row r="146" spans="1:28" x14ac:dyDescent="0.15">
      <c r="A146" s="4"/>
      <c r="B146" s="7"/>
      <c r="C146" s="7"/>
      <c r="D146" s="5"/>
      <c r="E146" s="7"/>
      <c r="F146" s="5"/>
      <c r="G146" s="7"/>
      <c r="H146" s="7"/>
      <c r="I146" s="7"/>
      <c r="J146" s="7"/>
      <c r="K146" s="7"/>
      <c r="L146" s="7"/>
      <c r="M146" s="7"/>
      <c r="N146" s="7"/>
      <c r="O146" s="7"/>
      <c r="P146" s="7"/>
      <c r="Q146" s="7"/>
      <c r="R146" s="7"/>
      <c r="S146" s="7"/>
      <c r="T146" s="7"/>
      <c r="U146" s="7"/>
      <c r="V146" s="7"/>
      <c r="W146" s="7"/>
      <c r="X146" s="7"/>
      <c r="Y146" s="7"/>
      <c r="Z146" s="6"/>
    </row>
    <row r="147" spans="1:28" x14ac:dyDescent="0.15">
      <c r="A147" s="4"/>
      <c r="B147" s="7"/>
      <c r="C147" s="7"/>
      <c r="D147" s="5"/>
      <c r="E147" s="7"/>
      <c r="F147" s="5"/>
      <c r="G147" s="7"/>
      <c r="H147" s="7"/>
      <c r="I147" s="7"/>
      <c r="J147" s="7"/>
      <c r="K147" s="7"/>
      <c r="L147" s="7"/>
      <c r="M147" s="7"/>
      <c r="N147" s="7"/>
      <c r="O147" s="7"/>
      <c r="P147" s="7"/>
      <c r="Q147" s="7"/>
      <c r="R147" s="7"/>
      <c r="S147" s="7"/>
      <c r="T147" s="7"/>
      <c r="U147" s="7"/>
      <c r="V147" s="7"/>
      <c r="W147" s="7"/>
      <c r="X147" s="7"/>
      <c r="Y147" s="7"/>
      <c r="Z147" s="6"/>
    </row>
    <row r="148" spans="1:28" x14ac:dyDescent="0.15">
      <c r="A148" s="4"/>
      <c r="B148" s="7"/>
      <c r="C148" s="7"/>
      <c r="D148" s="5"/>
      <c r="E148" s="7"/>
      <c r="F148" s="5"/>
      <c r="G148" s="7"/>
      <c r="H148" s="7"/>
      <c r="I148" s="7"/>
      <c r="J148" s="7"/>
      <c r="K148" s="7"/>
      <c r="L148" s="7"/>
      <c r="M148" s="7"/>
      <c r="N148" s="7"/>
      <c r="O148" s="7"/>
      <c r="P148" s="7"/>
      <c r="Q148" s="7"/>
      <c r="R148" s="7"/>
      <c r="S148" s="7"/>
      <c r="T148" s="7"/>
      <c r="U148" s="7"/>
      <c r="V148" s="7"/>
      <c r="W148" s="7"/>
      <c r="X148" s="7"/>
      <c r="Y148" s="7"/>
      <c r="Z148" s="6"/>
    </row>
    <row r="149" spans="1:28" x14ac:dyDescent="0.15">
      <c r="A149" s="4"/>
      <c r="B149" s="7"/>
      <c r="C149" s="7"/>
      <c r="D149" s="5"/>
      <c r="E149" s="7"/>
      <c r="F149" s="5"/>
      <c r="G149" s="7"/>
      <c r="H149" s="7"/>
      <c r="I149" s="7"/>
      <c r="J149" s="7"/>
      <c r="K149" s="7"/>
      <c r="L149" s="7"/>
      <c r="M149" s="7"/>
      <c r="N149" s="7"/>
      <c r="O149" s="7"/>
      <c r="P149" s="7"/>
      <c r="Q149" s="7"/>
      <c r="R149" s="7"/>
      <c r="S149" s="7"/>
      <c r="T149" s="7"/>
      <c r="U149" s="7"/>
      <c r="V149" s="7"/>
      <c r="W149" s="7"/>
      <c r="X149" s="7"/>
      <c r="Y149" s="7"/>
      <c r="Z149" s="6"/>
    </row>
    <row r="150" spans="1:28" x14ac:dyDescent="0.15">
      <c r="A150" s="4"/>
      <c r="B150" s="7"/>
      <c r="C150" s="7"/>
      <c r="D150" s="5"/>
      <c r="E150" s="7"/>
      <c r="F150" s="5"/>
      <c r="G150" s="7"/>
      <c r="H150" s="7"/>
      <c r="I150" s="7"/>
      <c r="J150" s="7"/>
      <c r="K150" s="7"/>
      <c r="L150" s="7"/>
      <c r="M150" s="7"/>
      <c r="N150" s="7"/>
      <c r="O150" s="7"/>
      <c r="P150" s="7"/>
      <c r="Q150" s="7"/>
      <c r="R150" s="7"/>
      <c r="S150" s="7"/>
      <c r="T150" s="7"/>
      <c r="U150" s="7"/>
      <c r="V150" s="7"/>
      <c r="W150" s="7"/>
      <c r="X150" s="7"/>
      <c r="Y150" s="7"/>
      <c r="Z150" s="6"/>
    </row>
    <row r="151" spans="1:28" x14ac:dyDescent="0.15">
      <c r="A151" s="4"/>
      <c r="B151" s="7"/>
      <c r="C151" s="7"/>
      <c r="D151" s="5"/>
      <c r="E151" s="7"/>
      <c r="F151" s="5"/>
      <c r="G151" s="7"/>
      <c r="H151" s="7"/>
      <c r="I151" s="7"/>
      <c r="J151" s="7"/>
      <c r="K151" s="7"/>
      <c r="L151" s="7"/>
      <c r="M151" s="7"/>
      <c r="N151" s="7"/>
      <c r="O151" s="7"/>
      <c r="P151" s="7"/>
      <c r="Q151" s="7"/>
      <c r="R151" s="7"/>
      <c r="S151" s="7"/>
      <c r="T151" s="7"/>
      <c r="U151" s="7"/>
      <c r="V151" s="7"/>
      <c r="W151" s="7"/>
      <c r="X151" s="7"/>
      <c r="Y151" s="7"/>
      <c r="Z151" s="6"/>
    </row>
    <row r="152" spans="1:28" x14ac:dyDescent="0.15">
      <c r="A152" s="4"/>
      <c r="B152" s="7"/>
      <c r="C152" s="7"/>
      <c r="D152" s="5"/>
      <c r="E152" s="7"/>
      <c r="F152" s="5"/>
      <c r="G152" s="7"/>
      <c r="H152" s="7"/>
      <c r="I152" s="7"/>
      <c r="J152" s="7"/>
      <c r="K152" s="7"/>
      <c r="L152" s="7"/>
      <c r="M152" s="7"/>
      <c r="N152" s="7"/>
      <c r="O152" s="7"/>
      <c r="P152" s="7"/>
      <c r="Q152" s="7"/>
      <c r="R152" s="7"/>
      <c r="S152" s="7"/>
      <c r="T152" s="7"/>
      <c r="U152" s="7"/>
      <c r="V152" s="7"/>
      <c r="W152" s="7"/>
      <c r="X152" s="7"/>
      <c r="Y152" s="7"/>
      <c r="Z152" s="6"/>
    </row>
    <row r="153" spans="1:28" x14ac:dyDescent="0.15">
      <c r="A153" s="4"/>
      <c r="B153" s="7"/>
      <c r="C153" s="7"/>
      <c r="D153" s="5"/>
      <c r="E153" s="7"/>
      <c r="F153" s="5"/>
      <c r="G153" s="7"/>
      <c r="H153" s="7"/>
      <c r="I153" s="7"/>
      <c r="J153" s="7"/>
      <c r="K153" s="7"/>
      <c r="L153" s="7"/>
      <c r="M153" s="7"/>
      <c r="N153" s="7"/>
      <c r="O153" s="7"/>
      <c r="P153" s="7"/>
      <c r="Q153" s="7"/>
      <c r="R153" s="7"/>
      <c r="S153" s="7"/>
      <c r="T153" s="7"/>
      <c r="U153" s="7"/>
      <c r="V153" s="7"/>
      <c r="W153" s="7"/>
      <c r="X153" s="7"/>
      <c r="Y153" s="7"/>
      <c r="Z153" s="6"/>
      <c r="AA153" s="6"/>
      <c r="AB153" s="6"/>
    </row>
    <row r="154" spans="1:28" x14ac:dyDescent="0.15">
      <c r="A154" s="4"/>
      <c r="B154" s="7"/>
      <c r="C154" s="7"/>
      <c r="D154" s="5"/>
      <c r="E154" s="7"/>
      <c r="F154" s="5"/>
      <c r="G154" s="7"/>
      <c r="H154" s="7"/>
      <c r="I154" s="7"/>
      <c r="J154" s="7"/>
      <c r="K154" s="7"/>
      <c r="L154" s="7"/>
      <c r="M154" s="7"/>
      <c r="N154" s="7"/>
      <c r="O154" s="7"/>
      <c r="P154" s="7"/>
      <c r="Q154" s="7"/>
      <c r="R154" s="7"/>
      <c r="S154" s="7"/>
      <c r="T154" s="7"/>
      <c r="U154" s="7"/>
      <c r="V154" s="7"/>
      <c r="W154" s="7"/>
      <c r="X154" s="7"/>
      <c r="Y154" s="7"/>
      <c r="Z154" s="6"/>
      <c r="AA154" s="6"/>
      <c r="AB154" s="6"/>
    </row>
    <row r="155" spans="1:28" x14ac:dyDescent="0.15">
      <c r="A155" s="4"/>
      <c r="B155" s="7"/>
      <c r="C155" s="7"/>
      <c r="D155" s="5"/>
      <c r="E155" s="7"/>
      <c r="F155" s="5"/>
      <c r="G155" s="7"/>
      <c r="H155" s="7"/>
      <c r="I155" s="7"/>
      <c r="J155" s="7"/>
      <c r="K155" s="7"/>
      <c r="L155" s="7"/>
      <c r="M155" s="7"/>
      <c r="N155" s="7"/>
      <c r="O155" s="7"/>
      <c r="P155" s="7"/>
      <c r="Q155" s="7"/>
      <c r="R155" s="7"/>
      <c r="S155" s="7"/>
      <c r="T155" s="7"/>
      <c r="U155" s="7"/>
      <c r="V155" s="7"/>
      <c r="W155" s="7"/>
      <c r="X155" s="7"/>
      <c r="Y155" s="7"/>
      <c r="Z155" s="6"/>
      <c r="AA155" s="6"/>
      <c r="AB155" s="6"/>
    </row>
    <row r="156" spans="1:28" x14ac:dyDescent="0.15">
      <c r="A156" s="4"/>
      <c r="B156" s="7"/>
      <c r="C156" s="7"/>
      <c r="D156" s="5"/>
      <c r="E156" s="7"/>
      <c r="F156" s="5"/>
      <c r="G156" s="7"/>
      <c r="H156" s="7"/>
      <c r="I156" s="7"/>
      <c r="J156" s="7"/>
      <c r="K156" s="7"/>
      <c r="L156" s="7"/>
      <c r="M156" s="7"/>
      <c r="N156" s="7"/>
      <c r="O156" s="7"/>
      <c r="P156" s="7"/>
      <c r="Q156" s="7"/>
      <c r="R156" s="7"/>
      <c r="S156" s="7"/>
      <c r="T156" s="7"/>
      <c r="U156" s="7"/>
      <c r="V156" s="7"/>
      <c r="W156" s="7"/>
      <c r="X156" s="7"/>
      <c r="Y156" s="7"/>
      <c r="Z156" s="6"/>
      <c r="AA156" s="6"/>
      <c r="AB156" s="6"/>
    </row>
    <row r="157" spans="1:28" x14ac:dyDescent="0.15">
      <c r="A157" s="4"/>
      <c r="B157" s="7"/>
      <c r="C157" s="7"/>
      <c r="D157" s="5"/>
      <c r="E157" s="7"/>
      <c r="F157" s="5"/>
      <c r="G157" s="7"/>
      <c r="H157" s="7"/>
      <c r="I157" s="7"/>
      <c r="J157" s="7"/>
      <c r="K157" s="7"/>
      <c r="L157" s="7"/>
      <c r="M157" s="7"/>
      <c r="N157" s="7"/>
      <c r="O157" s="7"/>
      <c r="P157" s="7"/>
      <c r="Q157" s="7"/>
      <c r="R157" s="7"/>
      <c r="S157" s="7"/>
      <c r="T157" s="7"/>
      <c r="U157" s="7"/>
      <c r="V157" s="7"/>
      <c r="W157" s="7"/>
      <c r="X157" s="7"/>
      <c r="Y157" s="7"/>
      <c r="Z157" s="6"/>
      <c r="AA157" s="6"/>
      <c r="AB157" s="6"/>
    </row>
    <row r="158" spans="1:28" x14ac:dyDescent="0.15">
      <c r="A158" s="4"/>
      <c r="B158" s="7"/>
      <c r="C158" s="7"/>
      <c r="D158" s="5"/>
      <c r="E158" s="7"/>
      <c r="F158" s="5"/>
      <c r="G158" s="7"/>
      <c r="H158" s="7"/>
      <c r="I158" s="7"/>
      <c r="J158" s="7"/>
      <c r="K158" s="7"/>
      <c r="L158" s="7"/>
      <c r="M158" s="7"/>
      <c r="N158" s="7"/>
      <c r="O158" s="7"/>
      <c r="P158" s="7"/>
      <c r="Q158" s="7"/>
      <c r="R158" s="7"/>
      <c r="S158" s="7"/>
      <c r="T158" s="7"/>
      <c r="U158" s="7"/>
      <c r="V158" s="7"/>
      <c r="W158" s="7"/>
      <c r="X158" s="7"/>
      <c r="Y158" s="7"/>
      <c r="Z158" s="6"/>
      <c r="AA158" s="6"/>
      <c r="AB158" s="6"/>
    </row>
    <row r="159" spans="1:28" x14ac:dyDescent="0.15">
      <c r="A159" s="4"/>
      <c r="B159" s="7"/>
      <c r="C159" s="7"/>
      <c r="D159" s="5"/>
      <c r="E159" s="7"/>
      <c r="F159" s="5"/>
      <c r="G159" s="7"/>
      <c r="H159" s="7"/>
      <c r="I159" s="7"/>
      <c r="J159" s="7"/>
      <c r="K159" s="7"/>
      <c r="L159" s="7"/>
      <c r="M159" s="7"/>
      <c r="N159" s="7"/>
      <c r="O159" s="7"/>
      <c r="P159" s="7"/>
      <c r="Q159" s="7"/>
      <c r="R159" s="7"/>
      <c r="S159" s="7"/>
      <c r="T159" s="7"/>
      <c r="U159" s="7"/>
      <c r="V159" s="7"/>
      <c r="W159" s="7"/>
      <c r="X159" s="7"/>
      <c r="Y159" s="7"/>
      <c r="Z159" s="6"/>
      <c r="AA159" s="6"/>
      <c r="AB159" s="6"/>
    </row>
    <row r="160" spans="1:28" x14ac:dyDescent="0.15">
      <c r="A160" s="4"/>
      <c r="B160" s="7"/>
      <c r="C160" s="7"/>
      <c r="D160" s="5"/>
      <c r="E160" s="7"/>
      <c r="F160" s="5"/>
      <c r="G160" s="7"/>
      <c r="H160" s="7"/>
      <c r="I160" s="7"/>
      <c r="J160" s="7"/>
      <c r="K160" s="7"/>
      <c r="L160" s="7"/>
      <c r="M160" s="7"/>
      <c r="N160" s="7"/>
      <c r="O160" s="7"/>
      <c r="P160" s="7"/>
      <c r="Q160" s="7"/>
      <c r="R160" s="7"/>
      <c r="S160" s="7"/>
      <c r="T160" s="7"/>
      <c r="U160" s="7"/>
      <c r="V160" s="7"/>
      <c r="W160" s="7"/>
      <c r="X160" s="7"/>
      <c r="Y160" s="7"/>
      <c r="Z160" s="6"/>
      <c r="AA160" s="6"/>
      <c r="AB160" s="6"/>
    </row>
    <row r="161" spans="1:28" x14ac:dyDescent="0.15">
      <c r="A161" s="4"/>
      <c r="B161" s="7"/>
      <c r="C161" s="7"/>
      <c r="D161" s="5"/>
      <c r="E161" s="7"/>
      <c r="F161" s="5"/>
      <c r="G161" s="7"/>
      <c r="H161" s="7"/>
      <c r="I161" s="7"/>
      <c r="J161" s="7"/>
      <c r="K161" s="7"/>
      <c r="L161" s="7"/>
      <c r="M161" s="7"/>
      <c r="N161" s="7"/>
      <c r="O161" s="7"/>
      <c r="P161" s="7"/>
      <c r="Q161" s="7"/>
      <c r="R161" s="7"/>
      <c r="S161" s="7"/>
      <c r="T161" s="7"/>
      <c r="U161" s="7"/>
      <c r="V161" s="7"/>
      <c r="W161" s="7"/>
      <c r="X161" s="7"/>
      <c r="Y161" s="7"/>
      <c r="Z161" s="6"/>
      <c r="AA161" s="6"/>
      <c r="AB161" s="6"/>
    </row>
    <row r="162" spans="1:28" x14ac:dyDescent="0.15">
      <c r="A162" s="4"/>
      <c r="B162" s="7"/>
      <c r="C162" s="7"/>
      <c r="D162" s="5"/>
      <c r="E162" s="7"/>
      <c r="F162" s="5"/>
      <c r="G162" s="7"/>
      <c r="H162" s="7"/>
      <c r="I162" s="7"/>
      <c r="J162" s="7"/>
      <c r="K162" s="7"/>
      <c r="L162" s="7"/>
      <c r="M162" s="7"/>
      <c r="N162" s="7"/>
      <c r="O162" s="7"/>
      <c r="P162" s="7"/>
      <c r="Q162" s="7"/>
      <c r="R162" s="7"/>
      <c r="S162" s="7"/>
      <c r="T162" s="7"/>
      <c r="U162" s="7"/>
      <c r="V162" s="7"/>
      <c r="W162" s="7"/>
      <c r="X162" s="7"/>
      <c r="Y162" s="7"/>
      <c r="Z162" s="6"/>
      <c r="AA162" s="6"/>
      <c r="AB162" s="6"/>
    </row>
    <row r="163" spans="1:28" x14ac:dyDescent="0.15">
      <c r="A163" s="4"/>
      <c r="B163" s="7"/>
      <c r="C163" s="7"/>
      <c r="D163" s="5"/>
      <c r="E163" s="7"/>
      <c r="F163" s="5"/>
      <c r="G163" s="7"/>
      <c r="H163" s="7"/>
      <c r="I163" s="7"/>
      <c r="J163" s="7"/>
      <c r="K163" s="7"/>
      <c r="L163" s="7"/>
      <c r="M163" s="7"/>
      <c r="N163" s="7"/>
      <c r="O163" s="7"/>
      <c r="P163" s="7"/>
      <c r="Q163" s="7"/>
      <c r="R163" s="7"/>
      <c r="S163" s="7"/>
      <c r="T163" s="7"/>
      <c r="U163" s="7"/>
      <c r="V163" s="7"/>
      <c r="W163" s="7"/>
      <c r="X163" s="7"/>
      <c r="Y163" s="7"/>
      <c r="Z163" s="6"/>
      <c r="AA163" s="6"/>
      <c r="AB163" s="6"/>
    </row>
    <row r="164" spans="1:28" x14ac:dyDescent="0.15">
      <c r="A164" s="4"/>
      <c r="B164" s="7"/>
      <c r="C164" s="7"/>
      <c r="D164" s="5"/>
      <c r="E164" s="7"/>
      <c r="F164" s="5"/>
      <c r="G164" s="7"/>
      <c r="H164" s="7"/>
      <c r="I164" s="7"/>
      <c r="J164" s="7"/>
      <c r="K164" s="7"/>
      <c r="L164" s="7"/>
      <c r="M164" s="7"/>
      <c r="N164" s="7"/>
      <c r="O164" s="7"/>
      <c r="P164" s="7"/>
      <c r="Q164" s="7"/>
      <c r="R164" s="7"/>
      <c r="S164" s="7"/>
      <c r="T164" s="7"/>
      <c r="U164" s="7"/>
      <c r="V164" s="7"/>
      <c r="W164" s="7"/>
      <c r="X164" s="7"/>
      <c r="Y164" s="7"/>
      <c r="Z164" s="6"/>
      <c r="AA164" s="6"/>
      <c r="AB164" s="6"/>
    </row>
    <row r="165" spans="1:28" x14ac:dyDescent="0.15">
      <c r="A165" s="4"/>
      <c r="B165" s="7"/>
      <c r="C165" s="7"/>
      <c r="D165" s="5"/>
      <c r="E165" s="7"/>
      <c r="F165" s="5"/>
      <c r="G165" s="7"/>
      <c r="H165" s="7"/>
      <c r="I165" s="7"/>
      <c r="J165" s="7"/>
      <c r="K165" s="7"/>
      <c r="L165" s="7"/>
      <c r="M165" s="7"/>
      <c r="N165" s="7"/>
      <c r="O165" s="7"/>
      <c r="P165" s="7"/>
      <c r="Q165" s="7"/>
      <c r="R165" s="7"/>
      <c r="S165" s="7"/>
      <c r="T165" s="7"/>
      <c r="U165" s="7"/>
      <c r="V165" s="7"/>
      <c r="W165" s="7"/>
      <c r="X165" s="7"/>
      <c r="Y165" s="7"/>
      <c r="Z165" s="6"/>
      <c r="AA165" s="6"/>
      <c r="AB165" s="6"/>
    </row>
    <row r="166" spans="1:28" x14ac:dyDescent="0.15">
      <c r="A166" s="4"/>
      <c r="B166" s="7"/>
      <c r="C166" s="7"/>
      <c r="D166" s="5"/>
      <c r="E166" s="7"/>
      <c r="F166" s="5"/>
      <c r="G166" s="7"/>
      <c r="H166" s="7"/>
      <c r="I166" s="7"/>
      <c r="J166" s="7"/>
      <c r="K166" s="7"/>
      <c r="L166" s="7"/>
      <c r="M166" s="7"/>
      <c r="N166" s="7"/>
      <c r="O166" s="7"/>
      <c r="P166" s="7"/>
      <c r="Q166" s="7"/>
      <c r="R166" s="7"/>
      <c r="S166" s="7"/>
      <c r="T166" s="7"/>
      <c r="U166" s="7"/>
      <c r="V166" s="7"/>
      <c r="W166" s="7"/>
      <c r="X166" s="7"/>
      <c r="Y166" s="7"/>
      <c r="Z166" s="6"/>
      <c r="AA166" s="6"/>
      <c r="AB166" s="6"/>
    </row>
    <row r="167" spans="1:28" x14ac:dyDescent="0.15">
      <c r="A167" s="4"/>
      <c r="B167" s="7"/>
      <c r="C167" s="7"/>
      <c r="D167" s="5"/>
      <c r="E167" s="7"/>
      <c r="F167" s="5"/>
      <c r="G167" s="7"/>
      <c r="H167" s="7"/>
      <c r="I167" s="7"/>
      <c r="J167" s="7"/>
      <c r="K167" s="7"/>
      <c r="L167" s="7"/>
      <c r="M167" s="7"/>
      <c r="N167" s="7"/>
      <c r="O167" s="7"/>
      <c r="P167" s="7"/>
      <c r="Q167" s="7"/>
      <c r="R167" s="7"/>
      <c r="S167" s="7"/>
      <c r="T167" s="7"/>
      <c r="U167" s="7"/>
      <c r="V167" s="7"/>
      <c r="W167" s="7"/>
      <c r="X167" s="7"/>
      <c r="Y167" s="7"/>
      <c r="Z167" s="6"/>
      <c r="AA167" s="6"/>
      <c r="AB167" s="6"/>
    </row>
    <row r="168" spans="1:28" x14ac:dyDescent="0.15">
      <c r="A168" s="4"/>
      <c r="B168" s="7"/>
      <c r="C168" s="7"/>
      <c r="D168" s="5"/>
      <c r="E168" s="7"/>
      <c r="F168" s="5"/>
      <c r="G168" s="7"/>
      <c r="H168" s="7"/>
      <c r="I168" s="7"/>
      <c r="J168" s="7"/>
      <c r="K168" s="7"/>
      <c r="L168" s="7"/>
      <c r="M168" s="7"/>
      <c r="N168" s="7"/>
      <c r="O168" s="7"/>
      <c r="P168" s="7"/>
      <c r="Q168" s="7"/>
      <c r="R168" s="7"/>
      <c r="S168" s="7"/>
      <c r="T168" s="7"/>
      <c r="U168" s="7"/>
      <c r="V168" s="7"/>
      <c r="W168" s="7"/>
      <c r="X168" s="7"/>
      <c r="Y168" s="7"/>
      <c r="Z168" s="6"/>
      <c r="AA168" s="6"/>
      <c r="AB168" s="6"/>
    </row>
    <row r="169" spans="1:28" x14ac:dyDescent="0.15">
      <c r="A169" s="4"/>
      <c r="B169" s="7"/>
      <c r="C169" s="7"/>
      <c r="D169" s="5"/>
      <c r="E169" s="7"/>
      <c r="F169" s="5"/>
      <c r="G169" s="7"/>
      <c r="H169" s="7"/>
      <c r="I169" s="7"/>
      <c r="J169" s="7"/>
      <c r="K169" s="7"/>
      <c r="L169" s="7"/>
      <c r="M169" s="7"/>
      <c r="N169" s="7"/>
      <c r="O169" s="7"/>
      <c r="P169" s="7"/>
      <c r="Q169" s="7"/>
      <c r="R169" s="7"/>
      <c r="S169" s="7"/>
      <c r="T169" s="7"/>
      <c r="U169" s="7"/>
      <c r="V169" s="7"/>
      <c r="W169" s="7"/>
      <c r="X169" s="7"/>
      <c r="Y169" s="7"/>
      <c r="Z169" s="6"/>
      <c r="AA169" s="6"/>
      <c r="AB169" s="6"/>
    </row>
    <row r="170" spans="1:28" x14ac:dyDescent="0.15">
      <c r="A170" s="4"/>
      <c r="B170" s="7"/>
      <c r="C170" s="7"/>
      <c r="D170" s="5"/>
      <c r="E170" s="7"/>
      <c r="F170" s="5"/>
      <c r="G170" s="7"/>
      <c r="H170" s="7"/>
      <c r="I170" s="7"/>
      <c r="J170" s="7"/>
      <c r="K170" s="7"/>
      <c r="L170" s="7"/>
      <c r="M170" s="7"/>
      <c r="N170" s="7"/>
      <c r="O170" s="7"/>
      <c r="P170" s="7"/>
      <c r="Q170" s="7"/>
      <c r="R170" s="7"/>
      <c r="S170" s="7"/>
      <c r="T170" s="7"/>
      <c r="U170" s="7"/>
      <c r="V170" s="7"/>
      <c r="W170" s="7"/>
      <c r="X170" s="7"/>
      <c r="Y170" s="7"/>
      <c r="Z170" s="6"/>
      <c r="AA170" s="6"/>
      <c r="AB170" s="6"/>
    </row>
    <row r="171" spans="1:28" x14ac:dyDescent="0.15">
      <c r="A171" s="4"/>
      <c r="B171" s="7"/>
      <c r="C171" s="7"/>
      <c r="D171" s="5"/>
      <c r="E171" s="7"/>
      <c r="F171" s="5"/>
      <c r="G171" s="7"/>
      <c r="H171" s="7"/>
      <c r="I171" s="7"/>
      <c r="J171" s="7"/>
      <c r="K171" s="7"/>
      <c r="L171" s="7"/>
      <c r="M171" s="7"/>
      <c r="N171" s="7"/>
      <c r="O171" s="7"/>
      <c r="P171" s="7"/>
      <c r="Q171" s="7"/>
      <c r="R171" s="7"/>
      <c r="S171" s="7"/>
      <c r="T171" s="7"/>
      <c r="U171" s="7"/>
      <c r="V171" s="7"/>
      <c r="W171" s="7"/>
      <c r="X171" s="7"/>
      <c r="Y171" s="7"/>
      <c r="Z171" s="6"/>
      <c r="AA171" s="6"/>
      <c r="AB171" s="6"/>
    </row>
    <row r="172" spans="1:28" x14ac:dyDescent="0.15">
      <c r="A172" s="4"/>
      <c r="B172" s="7"/>
      <c r="C172" s="7"/>
      <c r="D172" s="5"/>
      <c r="E172" s="7"/>
      <c r="F172" s="5"/>
      <c r="G172" s="7"/>
      <c r="H172" s="7"/>
      <c r="I172" s="7"/>
      <c r="J172" s="7"/>
      <c r="K172" s="7"/>
      <c r="L172" s="7"/>
      <c r="M172" s="7"/>
      <c r="N172" s="7"/>
      <c r="O172" s="7"/>
      <c r="P172" s="7"/>
      <c r="Q172" s="7"/>
      <c r="R172" s="7"/>
      <c r="S172" s="7"/>
      <c r="T172" s="7"/>
      <c r="U172" s="7"/>
      <c r="V172" s="7"/>
      <c r="W172" s="7"/>
      <c r="X172" s="7"/>
      <c r="Y172" s="7"/>
      <c r="Z172" s="6"/>
      <c r="AA172" s="6"/>
      <c r="AB172" s="6"/>
    </row>
    <row r="173" spans="1:28" x14ac:dyDescent="0.15">
      <c r="A173" s="4"/>
      <c r="B173" s="7"/>
      <c r="C173" s="7"/>
      <c r="D173" s="5"/>
      <c r="E173" s="7"/>
      <c r="F173" s="5"/>
      <c r="G173" s="7"/>
      <c r="H173" s="7"/>
      <c r="I173" s="7"/>
      <c r="J173" s="7"/>
      <c r="K173" s="7"/>
      <c r="L173" s="7"/>
      <c r="M173" s="7"/>
      <c r="N173" s="7"/>
      <c r="O173" s="7"/>
      <c r="P173" s="7"/>
      <c r="Q173" s="7"/>
      <c r="R173" s="7"/>
      <c r="S173" s="7"/>
      <c r="T173" s="7"/>
      <c r="U173" s="7"/>
      <c r="V173" s="7"/>
      <c r="W173" s="7"/>
      <c r="X173" s="7"/>
      <c r="Y173" s="7"/>
      <c r="Z173" s="6"/>
      <c r="AA173" s="6"/>
      <c r="AB173" s="6"/>
    </row>
    <row r="174" spans="1:28" x14ac:dyDescent="0.15">
      <c r="A174" s="4"/>
      <c r="B174" s="7"/>
      <c r="C174" s="7"/>
      <c r="D174" s="5"/>
      <c r="E174" s="7"/>
      <c r="F174" s="5"/>
      <c r="G174" s="7"/>
      <c r="H174" s="7"/>
      <c r="I174" s="7"/>
      <c r="J174" s="7"/>
      <c r="K174" s="7"/>
      <c r="L174" s="7"/>
      <c r="M174" s="7"/>
      <c r="N174" s="7"/>
      <c r="O174" s="7"/>
      <c r="P174" s="7"/>
      <c r="Q174" s="7"/>
      <c r="R174" s="7"/>
      <c r="S174" s="7"/>
      <c r="T174" s="7"/>
      <c r="U174" s="7"/>
      <c r="V174" s="7"/>
      <c r="W174" s="7"/>
      <c r="X174" s="7"/>
      <c r="Y174" s="7"/>
      <c r="Z174" s="6"/>
      <c r="AA174" s="6"/>
      <c r="AB174" s="6"/>
    </row>
    <row r="175" spans="1:28" x14ac:dyDescent="0.15">
      <c r="A175" s="4"/>
      <c r="B175" s="7"/>
      <c r="C175" s="7"/>
      <c r="D175" s="5"/>
      <c r="E175" s="7"/>
      <c r="F175" s="5"/>
      <c r="G175" s="7"/>
      <c r="H175" s="7"/>
      <c r="I175" s="7"/>
      <c r="J175" s="7"/>
      <c r="K175" s="7"/>
      <c r="L175" s="7"/>
      <c r="M175" s="7"/>
      <c r="N175" s="7"/>
      <c r="O175" s="7"/>
      <c r="P175" s="7"/>
      <c r="Q175" s="7"/>
      <c r="R175" s="7"/>
      <c r="S175" s="7"/>
      <c r="T175" s="7"/>
      <c r="U175" s="7"/>
      <c r="V175" s="7"/>
      <c r="W175" s="7"/>
      <c r="X175" s="7"/>
      <c r="Y175" s="7"/>
      <c r="Z175" s="6"/>
      <c r="AA175" s="6"/>
      <c r="AB175" s="6"/>
    </row>
    <row r="176" spans="1:28" x14ac:dyDescent="0.15">
      <c r="A176" s="4"/>
      <c r="B176" s="7"/>
      <c r="C176" s="7"/>
      <c r="D176" s="5"/>
      <c r="E176" s="7"/>
      <c r="F176" s="5"/>
      <c r="G176" s="7"/>
      <c r="H176" s="7"/>
      <c r="I176" s="7"/>
      <c r="J176" s="7"/>
      <c r="K176" s="7"/>
      <c r="L176" s="7"/>
      <c r="M176" s="7"/>
      <c r="N176" s="7"/>
      <c r="O176" s="7"/>
      <c r="P176" s="7"/>
      <c r="Q176" s="7"/>
      <c r="R176" s="7"/>
      <c r="S176" s="7"/>
      <c r="T176" s="7"/>
      <c r="U176" s="7"/>
      <c r="V176" s="7"/>
      <c r="W176" s="7"/>
      <c r="X176" s="7"/>
      <c r="Y176" s="7"/>
      <c r="Z176" s="6"/>
      <c r="AA176" s="6"/>
      <c r="AB176" s="6"/>
    </row>
    <row r="177" spans="1:28" x14ac:dyDescent="0.15">
      <c r="A177" s="4"/>
      <c r="B177" s="7"/>
      <c r="C177" s="7"/>
      <c r="D177" s="5"/>
      <c r="E177" s="7"/>
      <c r="F177" s="5"/>
      <c r="G177" s="7"/>
      <c r="H177" s="7"/>
      <c r="I177" s="7"/>
      <c r="J177" s="7"/>
      <c r="K177" s="7"/>
      <c r="L177" s="7"/>
      <c r="M177" s="7"/>
      <c r="N177" s="7"/>
      <c r="O177" s="7"/>
      <c r="P177" s="7"/>
      <c r="Q177" s="7"/>
      <c r="R177" s="7"/>
      <c r="S177" s="7"/>
      <c r="T177" s="7"/>
      <c r="U177" s="7"/>
      <c r="V177" s="7"/>
      <c r="W177" s="7"/>
      <c r="X177" s="7"/>
      <c r="Y177" s="7"/>
      <c r="Z177" s="6"/>
      <c r="AA177" s="6"/>
      <c r="AB177" s="6"/>
    </row>
    <row r="178" spans="1:28" x14ac:dyDescent="0.15">
      <c r="A178" s="4"/>
      <c r="B178" s="7"/>
      <c r="C178" s="7"/>
      <c r="D178" s="5"/>
      <c r="E178" s="7"/>
      <c r="F178" s="5"/>
      <c r="G178" s="7"/>
      <c r="H178" s="7"/>
      <c r="I178" s="7"/>
      <c r="J178" s="7"/>
      <c r="K178" s="7"/>
      <c r="L178" s="7"/>
      <c r="M178" s="7"/>
      <c r="N178" s="7"/>
      <c r="O178" s="7"/>
      <c r="P178" s="7"/>
      <c r="Q178" s="7"/>
      <c r="R178" s="7"/>
      <c r="S178" s="7"/>
      <c r="T178" s="7"/>
      <c r="U178" s="7"/>
      <c r="V178" s="7"/>
      <c r="W178" s="7"/>
      <c r="X178" s="7"/>
      <c r="Y178" s="7"/>
      <c r="Z178" s="6"/>
      <c r="AA178" s="6"/>
      <c r="AB178" s="6"/>
    </row>
    <row r="179" spans="1:28" x14ac:dyDescent="0.15">
      <c r="A179" s="4"/>
      <c r="B179" s="7"/>
      <c r="C179" s="7"/>
      <c r="D179" s="5"/>
      <c r="E179" s="7"/>
      <c r="F179" s="5"/>
      <c r="G179" s="7"/>
      <c r="H179" s="7"/>
      <c r="I179" s="7"/>
      <c r="J179" s="7"/>
      <c r="K179" s="7"/>
      <c r="L179" s="7"/>
      <c r="M179" s="7"/>
      <c r="N179" s="7"/>
      <c r="O179" s="7"/>
      <c r="P179" s="7"/>
      <c r="Q179" s="7"/>
      <c r="R179" s="7"/>
      <c r="S179" s="7"/>
      <c r="T179" s="7"/>
      <c r="U179" s="7"/>
      <c r="V179" s="7"/>
      <c r="W179" s="7"/>
      <c r="X179" s="7"/>
      <c r="Y179" s="7"/>
      <c r="Z179" s="6"/>
      <c r="AA179" s="6"/>
      <c r="AB179" s="6"/>
    </row>
    <row r="180" spans="1:28" x14ac:dyDescent="0.15">
      <c r="A180" s="4"/>
      <c r="B180" s="7"/>
      <c r="C180" s="7"/>
      <c r="D180" s="5"/>
      <c r="E180" s="7"/>
      <c r="F180" s="5"/>
      <c r="G180" s="7"/>
      <c r="H180" s="7"/>
      <c r="I180" s="7"/>
      <c r="J180" s="7"/>
      <c r="K180" s="7"/>
      <c r="L180" s="7"/>
      <c r="M180" s="7"/>
      <c r="N180" s="7"/>
      <c r="O180" s="7"/>
      <c r="P180" s="7"/>
      <c r="Q180" s="7"/>
      <c r="R180" s="7"/>
      <c r="S180" s="7"/>
      <c r="T180" s="7"/>
      <c r="U180" s="7"/>
      <c r="V180" s="7"/>
      <c r="W180" s="7"/>
      <c r="X180" s="7"/>
      <c r="Y180" s="7"/>
      <c r="Z180" s="6"/>
      <c r="AA180" s="6"/>
      <c r="AB180" s="6"/>
    </row>
    <row r="181" spans="1:28" x14ac:dyDescent="0.15">
      <c r="A181" s="4"/>
      <c r="B181" s="7"/>
      <c r="C181" s="7"/>
      <c r="D181" s="5"/>
      <c r="E181" s="7"/>
      <c r="F181" s="5"/>
      <c r="G181" s="7"/>
      <c r="H181" s="7"/>
      <c r="I181" s="7"/>
      <c r="J181" s="7"/>
      <c r="K181" s="7"/>
      <c r="L181" s="7"/>
      <c r="M181" s="7"/>
      <c r="N181" s="7"/>
      <c r="O181" s="7"/>
      <c r="P181" s="7"/>
      <c r="Q181" s="7"/>
      <c r="R181" s="7"/>
      <c r="S181" s="7"/>
      <c r="T181" s="7"/>
      <c r="U181" s="7"/>
      <c r="V181" s="7"/>
      <c r="W181" s="7"/>
      <c r="X181" s="7"/>
      <c r="Y181" s="7"/>
      <c r="Z181" s="6"/>
      <c r="AA181" s="6"/>
      <c r="AB181" s="6"/>
    </row>
    <row r="182" spans="1:28" x14ac:dyDescent="0.15">
      <c r="A182" s="4"/>
      <c r="B182" s="7"/>
      <c r="C182" s="7"/>
      <c r="D182" s="5"/>
      <c r="E182" s="7"/>
      <c r="F182" s="5"/>
      <c r="G182" s="7"/>
      <c r="H182" s="7"/>
      <c r="I182" s="7"/>
      <c r="J182" s="7"/>
      <c r="K182" s="7"/>
      <c r="L182" s="7"/>
      <c r="M182" s="7"/>
      <c r="N182" s="7"/>
      <c r="O182" s="7"/>
      <c r="P182" s="7"/>
      <c r="Q182" s="7"/>
      <c r="R182" s="7"/>
      <c r="S182" s="7"/>
      <c r="T182" s="7"/>
      <c r="U182" s="7"/>
      <c r="V182" s="7"/>
      <c r="W182" s="7"/>
      <c r="X182" s="7"/>
      <c r="Y182" s="7"/>
      <c r="Z182" s="6"/>
      <c r="AA182" s="6"/>
      <c r="AB182" s="6"/>
    </row>
    <row r="183" spans="1:28" x14ac:dyDescent="0.15">
      <c r="A183" s="4"/>
      <c r="B183" s="7"/>
      <c r="C183" s="7"/>
      <c r="D183" s="5"/>
      <c r="E183" s="7"/>
      <c r="F183" s="5"/>
      <c r="G183" s="7"/>
      <c r="H183" s="7"/>
      <c r="I183" s="7"/>
      <c r="J183" s="7"/>
      <c r="K183" s="7"/>
      <c r="L183" s="7"/>
      <c r="M183" s="7"/>
      <c r="N183" s="7"/>
      <c r="O183" s="7"/>
      <c r="P183" s="7"/>
      <c r="Q183" s="7"/>
      <c r="R183" s="7"/>
      <c r="S183" s="7"/>
      <c r="T183" s="7"/>
      <c r="U183" s="7"/>
      <c r="V183" s="7"/>
      <c r="W183" s="7"/>
      <c r="X183" s="7"/>
      <c r="Y183" s="7"/>
      <c r="Z183" s="6"/>
      <c r="AA183" s="6"/>
      <c r="AB183" s="6"/>
    </row>
    <row r="184" spans="1:28" x14ac:dyDescent="0.15">
      <c r="A184" s="4"/>
      <c r="B184" s="7"/>
      <c r="C184" s="7"/>
      <c r="D184" s="5"/>
      <c r="E184" s="7"/>
      <c r="F184" s="5"/>
      <c r="G184" s="7"/>
      <c r="H184" s="7"/>
      <c r="I184" s="7"/>
      <c r="J184" s="7"/>
      <c r="K184" s="7"/>
      <c r="L184" s="7"/>
      <c r="M184" s="7"/>
      <c r="N184" s="7"/>
      <c r="O184" s="7"/>
      <c r="P184" s="7"/>
      <c r="Q184" s="7"/>
      <c r="R184" s="7"/>
      <c r="S184" s="7"/>
      <c r="T184" s="7"/>
      <c r="U184" s="7"/>
      <c r="V184" s="7"/>
      <c r="W184" s="7"/>
      <c r="X184" s="7"/>
      <c r="Y184" s="7"/>
      <c r="Z184" s="6"/>
      <c r="AA184" s="6"/>
      <c r="AB184" s="6"/>
    </row>
    <row r="185" spans="1:28" x14ac:dyDescent="0.15">
      <c r="A185" s="4"/>
      <c r="B185" s="7"/>
      <c r="C185" s="7"/>
      <c r="D185" s="5"/>
      <c r="E185" s="7"/>
      <c r="F185" s="5"/>
      <c r="G185" s="7"/>
      <c r="H185" s="7"/>
      <c r="I185" s="7"/>
      <c r="J185" s="7"/>
      <c r="K185" s="7"/>
      <c r="L185" s="7"/>
      <c r="M185" s="7"/>
      <c r="N185" s="7"/>
      <c r="O185" s="7"/>
      <c r="P185" s="7"/>
      <c r="Q185" s="7"/>
      <c r="R185" s="7"/>
      <c r="S185" s="7"/>
      <c r="T185" s="7"/>
      <c r="U185" s="7"/>
      <c r="V185" s="7"/>
      <c r="W185" s="7"/>
      <c r="X185" s="7"/>
      <c r="Y185" s="7"/>
      <c r="Z185" s="6"/>
      <c r="AA185" s="6"/>
      <c r="AB185" s="6"/>
    </row>
    <row r="186" spans="1:28" x14ac:dyDescent="0.15">
      <c r="A186" s="4"/>
      <c r="B186" s="7"/>
      <c r="C186" s="7"/>
      <c r="D186" s="5"/>
      <c r="E186" s="7"/>
      <c r="F186" s="5"/>
      <c r="G186" s="7"/>
      <c r="H186" s="7"/>
      <c r="I186" s="7"/>
      <c r="J186" s="7"/>
      <c r="K186" s="7"/>
      <c r="L186" s="7"/>
      <c r="M186" s="7"/>
      <c r="N186" s="7"/>
      <c r="O186" s="7"/>
      <c r="P186" s="7"/>
      <c r="Q186" s="7"/>
      <c r="R186" s="7"/>
      <c r="S186" s="7"/>
      <c r="T186" s="7"/>
      <c r="U186" s="7"/>
      <c r="V186" s="7"/>
      <c r="W186" s="7"/>
      <c r="X186" s="7"/>
      <c r="Y186" s="7"/>
      <c r="Z186" s="6"/>
      <c r="AA186" s="6"/>
      <c r="AB186" s="6"/>
    </row>
    <row r="187" spans="1:28" x14ac:dyDescent="0.15">
      <c r="A187" s="4"/>
      <c r="B187" s="7"/>
      <c r="C187" s="7"/>
      <c r="D187" s="5"/>
      <c r="E187" s="7"/>
      <c r="F187" s="5"/>
      <c r="G187" s="7"/>
      <c r="H187" s="7"/>
      <c r="I187" s="7"/>
      <c r="J187" s="7"/>
      <c r="K187" s="7"/>
      <c r="L187" s="7"/>
      <c r="M187" s="7"/>
      <c r="N187" s="7"/>
      <c r="O187" s="7"/>
      <c r="P187" s="7"/>
      <c r="Q187" s="7"/>
      <c r="R187" s="7"/>
      <c r="S187" s="7"/>
      <c r="T187" s="7"/>
      <c r="U187" s="7"/>
      <c r="V187" s="7"/>
      <c r="W187" s="7"/>
      <c r="X187" s="7"/>
      <c r="Y187" s="7"/>
      <c r="Z187" s="6"/>
      <c r="AA187" s="6"/>
      <c r="AB187" s="6"/>
    </row>
    <row r="188" spans="1:28" x14ac:dyDescent="0.15">
      <c r="A188" s="4"/>
      <c r="B188" s="7"/>
      <c r="C188" s="7"/>
      <c r="D188" s="5"/>
      <c r="E188" s="7"/>
      <c r="F188" s="5"/>
      <c r="G188" s="7"/>
      <c r="H188" s="7"/>
      <c r="I188" s="7"/>
      <c r="J188" s="7"/>
      <c r="K188" s="7"/>
      <c r="L188" s="7"/>
      <c r="M188" s="7"/>
      <c r="N188" s="7"/>
      <c r="O188" s="7"/>
      <c r="P188" s="7"/>
      <c r="Q188" s="7"/>
      <c r="R188" s="7"/>
      <c r="S188" s="7"/>
      <c r="T188" s="7"/>
      <c r="U188" s="7"/>
      <c r="V188" s="7"/>
      <c r="W188" s="7"/>
      <c r="X188" s="7"/>
      <c r="Y188" s="7"/>
      <c r="Z188" s="6"/>
      <c r="AA188" s="6"/>
      <c r="AB188" s="6"/>
    </row>
    <row r="189" spans="1:28" x14ac:dyDescent="0.15">
      <c r="A189" s="4"/>
      <c r="B189" s="7"/>
      <c r="C189" s="7"/>
      <c r="D189" s="5"/>
      <c r="E189" s="7"/>
      <c r="F189" s="5"/>
      <c r="G189" s="7"/>
      <c r="H189" s="7"/>
      <c r="I189" s="7"/>
      <c r="J189" s="7"/>
      <c r="K189" s="7"/>
      <c r="L189" s="7"/>
      <c r="M189" s="7"/>
      <c r="N189" s="7"/>
      <c r="O189" s="7"/>
      <c r="P189" s="7"/>
      <c r="Q189" s="7"/>
      <c r="R189" s="7"/>
      <c r="S189" s="7"/>
      <c r="T189" s="7"/>
      <c r="U189" s="7"/>
      <c r="V189" s="7"/>
      <c r="W189" s="7"/>
      <c r="X189" s="7"/>
      <c r="Y189" s="7"/>
      <c r="Z189" s="6"/>
      <c r="AA189" s="6"/>
      <c r="AB189" s="6"/>
    </row>
    <row r="190" spans="1:28" x14ac:dyDescent="0.15">
      <c r="A190" s="4"/>
      <c r="B190" s="7"/>
      <c r="C190" s="7"/>
      <c r="D190" s="5"/>
      <c r="E190" s="7"/>
      <c r="F190" s="5"/>
      <c r="G190" s="7"/>
      <c r="H190" s="7"/>
      <c r="I190" s="7"/>
      <c r="J190" s="7"/>
      <c r="K190" s="7"/>
      <c r="L190" s="7"/>
      <c r="M190" s="7"/>
      <c r="N190" s="7"/>
      <c r="O190" s="7"/>
      <c r="P190" s="7"/>
      <c r="Q190" s="7"/>
      <c r="R190" s="7"/>
      <c r="S190" s="7"/>
      <c r="T190" s="7"/>
      <c r="U190" s="7"/>
      <c r="V190" s="7"/>
      <c r="W190" s="7"/>
      <c r="X190" s="7"/>
      <c r="Y190" s="7"/>
      <c r="Z190" s="6"/>
      <c r="AA190" s="6"/>
      <c r="AB190" s="6"/>
    </row>
    <row r="191" spans="1:28" x14ac:dyDescent="0.15">
      <c r="A191" s="4"/>
      <c r="B191" s="7"/>
      <c r="C191" s="7"/>
      <c r="D191" s="5"/>
      <c r="E191" s="7"/>
      <c r="F191" s="5"/>
      <c r="G191" s="7"/>
      <c r="H191" s="7"/>
      <c r="I191" s="7"/>
      <c r="J191" s="7"/>
      <c r="K191" s="7"/>
      <c r="L191" s="7"/>
      <c r="M191" s="7"/>
      <c r="N191" s="7"/>
      <c r="O191" s="7"/>
      <c r="P191" s="7"/>
      <c r="Q191" s="7"/>
      <c r="R191" s="7"/>
      <c r="S191" s="7"/>
      <c r="T191" s="7"/>
      <c r="U191" s="7"/>
      <c r="V191" s="7"/>
      <c r="W191" s="7"/>
      <c r="X191" s="7"/>
      <c r="Y191" s="7"/>
      <c r="Z191" s="6"/>
      <c r="AA191" s="6"/>
      <c r="AB191" s="6"/>
    </row>
    <row r="192" spans="1:28" x14ac:dyDescent="0.15">
      <c r="A192" s="4"/>
      <c r="B192" s="7"/>
      <c r="C192" s="7"/>
      <c r="D192" s="5"/>
      <c r="E192" s="7"/>
      <c r="F192" s="5"/>
      <c r="G192" s="7"/>
      <c r="H192" s="7"/>
      <c r="I192" s="7"/>
      <c r="J192" s="7"/>
      <c r="K192" s="7"/>
      <c r="L192" s="7"/>
      <c r="M192" s="7"/>
      <c r="N192" s="7"/>
      <c r="O192" s="7"/>
      <c r="P192" s="7"/>
      <c r="Q192" s="7"/>
      <c r="R192" s="7"/>
      <c r="S192" s="7"/>
      <c r="T192" s="7"/>
      <c r="U192" s="7"/>
      <c r="V192" s="7"/>
      <c r="W192" s="7"/>
      <c r="X192" s="7"/>
      <c r="Y192" s="7"/>
      <c r="Z192" s="6"/>
      <c r="AA192" s="6"/>
      <c r="AB192" s="6"/>
    </row>
    <row r="193" spans="1:28" x14ac:dyDescent="0.15">
      <c r="A193" s="4"/>
      <c r="B193" s="7"/>
      <c r="C193" s="7"/>
      <c r="D193" s="5"/>
      <c r="E193" s="7"/>
      <c r="F193" s="5"/>
      <c r="G193" s="7"/>
      <c r="H193" s="7"/>
      <c r="I193" s="7"/>
      <c r="J193" s="7"/>
      <c r="K193" s="7"/>
      <c r="L193" s="7"/>
      <c r="M193" s="7"/>
      <c r="N193" s="7"/>
      <c r="O193" s="7"/>
      <c r="P193" s="7"/>
      <c r="Q193" s="7"/>
      <c r="R193" s="7"/>
      <c r="S193" s="7"/>
      <c r="T193" s="7"/>
      <c r="U193" s="7"/>
      <c r="V193" s="7"/>
      <c r="W193" s="7"/>
      <c r="X193" s="7"/>
      <c r="Y193" s="7"/>
      <c r="Z193" s="6"/>
      <c r="AA193" s="6"/>
      <c r="AB193" s="6"/>
    </row>
    <row r="194" spans="1:28" x14ac:dyDescent="0.15">
      <c r="A194" s="4"/>
      <c r="B194" s="7"/>
      <c r="C194" s="7"/>
      <c r="D194" s="5"/>
      <c r="E194" s="7"/>
      <c r="F194" s="5"/>
      <c r="G194" s="7"/>
      <c r="H194" s="7"/>
      <c r="I194" s="7"/>
      <c r="J194" s="7"/>
      <c r="K194" s="7"/>
      <c r="L194" s="7"/>
      <c r="M194" s="7"/>
      <c r="N194" s="7"/>
      <c r="O194" s="7"/>
      <c r="P194" s="7"/>
      <c r="Q194" s="7"/>
      <c r="R194" s="7"/>
      <c r="S194" s="7"/>
      <c r="T194" s="7"/>
      <c r="U194" s="7"/>
      <c r="V194" s="7"/>
      <c r="W194" s="7"/>
      <c r="X194" s="7"/>
      <c r="Y194" s="7"/>
      <c r="Z194" s="6"/>
      <c r="AA194" s="6"/>
      <c r="AB194" s="6"/>
    </row>
    <row r="195" spans="1:28" x14ac:dyDescent="0.15">
      <c r="A195" s="4"/>
      <c r="B195" s="7"/>
      <c r="C195" s="7"/>
      <c r="D195" s="5"/>
      <c r="E195" s="7"/>
      <c r="F195" s="5"/>
      <c r="G195" s="7"/>
      <c r="H195" s="7"/>
      <c r="I195" s="7"/>
      <c r="J195" s="7"/>
      <c r="K195" s="7"/>
      <c r="L195" s="7"/>
      <c r="M195" s="7"/>
      <c r="N195" s="7"/>
      <c r="O195" s="7"/>
      <c r="P195" s="7"/>
      <c r="Q195" s="7"/>
      <c r="R195" s="7"/>
      <c r="S195" s="7"/>
      <c r="T195" s="7"/>
      <c r="U195" s="7"/>
      <c r="V195" s="7"/>
      <c r="W195" s="7"/>
      <c r="X195" s="7"/>
      <c r="Y195" s="7"/>
      <c r="Z195" s="6"/>
      <c r="AA195" s="6"/>
      <c r="AB195" s="6"/>
    </row>
    <row r="196" spans="1:28" x14ac:dyDescent="0.15">
      <c r="A196" s="4"/>
      <c r="B196" s="7"/>
      <c r="C196" s="7"/>
      <c r="D196" s="5"/>
      <c r="E196" s="7"/>
      <c r="F196" s="5"/>
      <c r="G196" s="7"/>
      <c r="H196" s="7"/>
      <c r="I196" s="7"/>
      <c r="J196" s="7"/>
      <c r="K196" s="7"/>
      <c r="L196" s="7"/>
      <c r="M196" s="7"/>
      <c r="N196" s="7"/>
      <c r="O196" s="7"/>
      <c r="P196" s="7"/>
      <c r="Q196" s="7"/>
      <c r="R196" s="7"/>
      <c r="S196" s="7"/>
      <c r="T196" s="7"/>
      <c r="U196" s="7"/>
      <c r="V196" s="7"/>
      <c r="W196" s="7"/>
      <c r="X196" s="7"/>
      <c r="Y196" s="7"/>
      <c r="Z196" s="6"/>
      <c r="AA196" s="6"/>
      <c r="AB196" s="6"/>
    </row>
    <row r="197" spans="1:28" x14ac:dyDescent="0.15">
      <c r="A197" s="4"/>
      <c r="B197" s="7"/>
      <c r="C197" s="7"/>
      <c r="D197" s="5"/>
      <c r="E197" s="7"/>
      <c r="F197" s="5"/>
      <c r="G197" s="7"/>
      <c r="H197" s="7"/>
      <c r="I197" s="7"/>
      <c r="J197" s="7"/>
      <c r="K197" s="7"/>
      <c r="L197" s="7"/>
      <c r="M197" s="7"/>
      <c r="N197" s="7"/>
      <c r="O197" s="7"/>
      <c r="P197" s="7"/>
      <c r="Q197" s="7"/>
      <c r="R197" s="7"/>
      <c r="S197" s="7"/>
      <c r="T197" s="7"/>
      <c r="U197" s="7"/>
      <c r="V197" s="7"/>
      <c r="W197" s="7"/>
      <c r="X197" s="7"/>
      <c r="Y197" s="7"/>
      <c r="Z197" s="6"/>
      <c r="AA197" s="6"/>
      <c r="AB197" s="6"/>
    </row>
    <row r="198" spans="1:28" x14ac:dyDescent="0.15">
      <c r="A198" s="4"/>
      <c r="B198" s="7"/>
      <c r="C198" s="7"/>
      <c r="D198" s="5"/>
      <c r="E198" s="7"/>
      <c r="F198" s="5"/>
      <c r="G198" s="7"/>
      <c r="H198" s="7"/>
      <c r="I198" s="7"/>
      <c r="J198" s="7"/>
      <c r="K198" s="7"/>
      <c r="L198" s="7"/>
      <c r="M198" s="7"/>
      <c r="N198" s="7"/>
      <c r="O198" s="7"/>
      <c r="P198" s="7"/>
      <c r="Q198" s="7"/>
      <c r="R198" s="7"/>
      <c r="S198" s="7"/>
      <c r="T198" s="7"/>
      <c r="U198" s="7"/>
      <c r="V198" s="7"/>
      <c r="W198" s="7"/>
      <c r="X198" s="7"/>
      <c r="Y198" s="7"/>
      <c r="Z198" s="6"/>
      <c r="AA198" s="6"/>
      <c r="AB198" s="6"/>
    </row>
    <row r="199" spans="1:28" x14ac:dyDescent="0.15">
      <c r="A199" s="4"/>
      <c r="B199" s="7"/>
      <c r="C199" s="7"/>
      <c r="D199" s="5"/>
      <c r="E199" s="7"/>
      <c r="F199" s="5"/>
      <c r="G199" s="7"/>
      <c r="H199" s="7"/>
      <c r="I199" s="7"/>
      <c r="J199" s="7"/>
      <c r="K199" s="7"/>
      <c r="L199" s="7"/>
      <c r="M199" s="7"/>
      <c r="N199" s="7"/>
      <c r="O199" s="7"/>
      <c r="P199" s="7"/>
      <c r="Q199" s="7"/>
      <c r="R199" s="7"/>
      <c r="S199" s="7"/>
      <c r="T199" s="7"/>
      <c r="U199" s="7"/>
      <c r="V199" s="7"/>
      <c r="W199" s="7"/>
      <c r="X199" s="7"/>
      <c r="Y199" s="7"/>
      <c r="Z199" s="6"/>
      <c r="AA199" s="6"/>
      <c r="AB199" s="6"/>
    </row>
    <row r="200" spans="1:28" x14ac:dyDescent="0.15">
      <c r="A200" s="4"/>
      <c r="B200" s="7"/>
      <c r="C200" s="7"/>
      <c r="D200" s="5"/>
      <c r="E200" s="7"/>
      <c r="F200" s="5"/>
      <c r="G200" s="7"/>
      <c r="H200" s="7"/>
      <c r="I200" s="7"/>
      <c r="J200" s="7"/>
      <c r="K200" s="7"/>
      <c r="L200" s="7"/>
      <c r="M200" s="7"/>
      <c r="N200" s="7"/>
      <c r="O200" s="7"/>
      <c r="P200" s="7"/>
      <c r="Q200" s="7"/>
      <c r="R200" s="7"/>
      <c r="S200" s="7"/>
      <c r="T200" s="7"/>
      <c r="U200" s="7"/>
      <c r="V200" s="7"/>
      <c r="W200" s="7"/>
      <c r="X200" s="7"/>
      <c r="Y200" s="7"/>
      <c r="Z200" s="6"/>
      <c r="AA200" s="6"/>
      <c r="AB200" s="6"/>
    </row>
    <row r="201" spans="1:28" x14ac:dyDescent="0.15">
      <c r="A201" s="4"/>
      <c r="B201" s="7"/>
      <c r="C201" s="7"/>
      <c r="D201" s="5"/>
      <c r="E201" s="7"/>
      <c r="F201" s="5"/>
      <c r="G201" s="7"/>
      <c r="H201" s="7"/>
      <c r="I201" s="7"/>
      <c r="J201" s="7"/>
      <c r="K201" s="7"/>
      <c r="L201" s="7"/>
      <c r="M201" s="7"/>
      <c r="N201" s="7"/>
      <c r="O201" s="7"/>
      <c r="P201" s="7"/>
      <c r="Q201" s="7"/>
      <c r="R201" s="7"/>
      <c r="S201" s="7"/>
      <c r="T201" s="7"/>
      <c r="U201" s="7"/>
      <c r="V201" s="7"/>
      <c r="W201" s="7"/>
      <c r="X201" s="7"/>
      <c r="Y201" s="7"/>
      <c r="Z201" s="6"/>
      <c r="AA201" s="6"/>
      <c r="AB201" s="6"/>
    </row>
    <row r="202" spans="1:28" x14ac:dyDescent="0.15">
      <c r="A202" s="4"/>
      <c r="B202" s="7"/>
      <c r="C202" s="7"/>
      <c r="D202" s="5"/>
      <c r="E202" s="7"/>
      <c r="F202" s="5"/>
      <c r="G202" s="7"/>
      <c r="H202" s="7"/>
      <c r="I202" s="7"/>
      <c r="J202" s="7"/>
      <c r="K202" s="7"/>
      <c r="L202" s="7"/>
      <c r="M202" s="7"/>
      <c r="N202" s="7"/>
      <c r="O202" s="7"/>
      <c r="P202" s="7"/>
      <c r="Q202" s="7"/>
      <c r="R202" s="7"/>
      <c r="S202" s="7"/>
      <c r="T202" s="7"/>
      <c r="U202" s="7"/>
      <c r="V202" s="7"/>
      <c r="W202" s="7"/>
      <c r="X202" s="7"/>
      <c r="Y202" s="7"/>
      <c r="Z202" s="6"/>
      <c r="AA202" s="6"/>
      <c r="AB202" s="6"/>
    </row>
    <row r="203" spans="1:28" x14ac:dyDescent="0.15">
      <c r="A203" s="4"/>
      <c r="B203" s="7"/>
      <c r="C203" s="7"/>
      <c r="D203" s="5"/>
      <c r="E203" s="7"/>
      <c r="F203" s="5"/>
      <c r="G203" s="7"/>
      <c r="H203" s="7"/>
      <c r="I203" s="7"/>
      <c r="J203" s="7"/>
      <c r="K203" s="7"/>
      <c r="L203" s="7"/>
      <c r="M203" s="7"/>
      <c r="N203" s="7"/>
      <c r="O203" s="7"/>
      <c r="P203" s="7"/>
      <c r="Q203" s="7"/>
      <c r="R203" s="7"/>
      <c r="S203" s="7"/>
      <c r="T203" s="7"/>
      <c r="U203" s="7"/>
      <c r="V203" s="7"/>
      <c r="W203" s="7"/>
      <c r="X203" s="7"/>
      <c r="Y203" s="7"/>
      <c r="Z203" s="6"/>
      <c r="AA203" s="6"/>
      <c r="AB203" s="6"/>
    </row>
    <row r="204" spans="1:28" x14ac:dyDescent="0.15">
      <c r="A204" s="4"/>
      <c r="B204" s="7"/>
      <c r="C204" s="7"/>
      <c r="D204" s="5"/>
      <c r="E204" s="7"/>
      <c r="F204" s="5"/>
      <c r="G204" s="7"/>
      <c r="H204" s="7"/>
      <c r="I204" s="7"/>
      <c r="J204" s="7"/>
      <c r="K204" s="7"/>
      <c r="L204" s="7"/>
      <c r="M204" s="7"/>
      <c r="N204" s="7"/>
      <c r="O204" s="7"/>
      <c r="P204" s="7"/>
      <c r="Q204" s="7"/>
      <c r="R204" s="7"/>
      <c r="S204" s="7"/>
      <c r="T204" s="7"/>
      <c r="U204" s="7"/>
      <c r="V204" s="7"/>
      <c r="W204" s="7"/>
      <c r="X204" s="7"/>
      <c r="Y204" s="7"/>
      <c r="Z204" s="6"/>
      <c r="AA204" s="6"/>
      <c r="AB204" s="6"/>
    </row>
    <row r="205" spans="1:28" x14ac:dyDescent="0.15">
      <c r="A205" s="4"/>
      <c r="B205" s="7"/>
      <c r="C205" s="7"/>
      <c r="D205" s="5"/>
      <c r="E205" s="7"/>
      <c r="F205" s="5"/>
      <c r="G205" s="7"/>
      <c r="H205" s="7"/>
      <c r="I205" s="7"/>
      <c r="J205" s="7"/>
      <c r="K205" s="7"/>
      <c r="L205" s="7"/>
      <c r="M205" s="7"/>
      <c r="N205" s="7"/>
      <c r="O205" s="7"/>
      <c r="P205" s="7"/>
      <c r="Q205" s="7"/>
      <c r="R205" s="7"/>
      <c r="S205" s="7"/>
      <c r="T205" s="7"/>
      <c r="U205" s="7"/>
      <c r="V205" s="7"/>
      <c r="W205" s="7"/>
      <c r="X205" s="7"/>
      <c r="Y205" s="7"/>
    </row>
    <row r="206" spans="1:28" x14ac:dyDescent="0.15">
      <c r="A206" s="4"/>
      <c r="B206" s="7"/>
      <c r="C206" s="7"/>
      <c r="D206" s="5"/>
      <c r="E206" s="7"/>
      <c r="F206" s="5"/>
      <c r="G206" s="7"/>
      <c r="H206" s="7"/>
      <c r="I206" s="7"/>
      <c r="J206" s="7"/>
      <c r="K206" s="7"/>
      <c r="L206" s="7"/>
      <c r="M206" s="7"/>
      <c r="N206" s="7"/>
      <c r="O206" s="7"/>
      <c r="P206" s="7"/>
      <c r="Q206" s="7"/>
      <c r="R206" s="7"/>
      <c r="S206" s="7"/>
      <c r="T206" s="7"/>
      <c r="U206" s="7"/>
      <c r="V206" s="7"/>
      <c r="W206" s="7"/>
      <c r="X206" s="7"/>
      <c r="Y206" s="7"/>
    </row>
    <row r="207" spans="1:28" x14ac:dyDescent="0.15">
      <c r="A207" s="4"/>
      <c r="B207" s="7"/>
      <c r="C207" s="7"/>
      <c r="D207" s="5"/>
      <c r="E207" s="7"/>
      <c r="F207" s="5"/>
      <c r="G207" s="7"/>
      <c r="H207" s="7"/>
      <c r="I207" s="7"/>
      <c r="J207" s="7"/>
      <c r="K207" s="7"/>
      <c r="L207" s="7"/>
      <c r="M207" s="7"/>
      <c r="N207" s="7"/>
      <c r="O207" s="7"/>
      <c r="P207" s="7"/>
      <c r="Q207" s="7"/>
      <c r="R207" s="7"/>
      <c r="S207" s="7"/>
      <c r="T207" s="7"/>
      <c r="U207" s="7"/>
      <c r="V207" s="7"/>
      <c r="W207" s="7"/>
      <c r="X207" s="7"/>
      <c r="Y207" s="7"/>
    </row>
    <row r="208" spans="1:28" x14ac:dyDescent="0.15">
      <c r="A208" s="4"/>
      <c r="B208" s="7"/>
      <c r="C208" s="7"/>
      <c r="D208" s="5"/>
      <c r="E208" s="7"/>
      <c r="F208" s="5"/>
      <c r="G208" s="7"/>
      <c r="H208" s="7"/>
      <c r="I208" s="7"/>
      <c r="J208" s="7"/>
      <c r="K208" s="7"/>
      <c r="L208" s="7"/>
      <c r="M208" s="7"/>
      <c r="N208" s="7"/>
      <c r="O208" s="7"/>
      <c r="P208" s="7"/>
      <c r="Q208" s="7"/>
      <c r="R208" s="7"/>
      <c r="S208" s="7"/>
      <c r="T208" s="7"/>
      <c r="U208" s="7"/>
      <c r="V208" s="7"/>
      <c r="W208" s="7"/>
      <c r="X208" s="7"/>
      <c r="Y208" s="7"/>
    </row>
    <row r="209" spans="1:25" x14ac:dyDescent="0.15">
      <c r="A209" s="4"/>
      <c r="B209" s="7"/>
      <c r="C209" s="7"/>
      <c r="D209" s="5"/>
      <c r="E209" s="7"/>
      <c r="F209" s="5"/>
      <c r="G209" s="7"/>
      <c r="H209" s="7"/>
      <c r="I209" s="7"/>
      <c r="J209" s="7"/>
      <c r="K209" s="7"/>
      <c r="L209" s="7"/>
      <c r="M209" s="7"/>
      <c r="N209" s="7"/>
      <c r="O209" s="7"/>
      <c r="P209" s="7"/>
      <c r="Q209" s="7"/>
      <c r="R209" s="7"/>
      <c r="S209" s="7"/>
      <c r="T209" s="7"/>
      <c r="U209" s="7"/>
      <c r="V209" s="7"/>
      <c r="W209" s="7"/>
      <c r="X209" s="7"/>
      <c r="Y209" s="7"/>
    </row>
    <row r="210" spans="1:25" x14ac:dyDescent="0.15">
      <c r="A210" s="4"/>
      <c r="B210" s="7"/>
      <c r="C210" s="7"/>
      <c r="D210" s="5"/>
      <c r="E210" s="7"/>
      <c r="F210" s="5"/>
      <c r="G210" s="7"/>
      <c r="H210" s="7"/>
      <c r="I210" s="7"/>
      <c r="J210" s="7"/>
      <c r="K210" s="7"/>
      <c r="L210" s="7"/>
      <c r="M210" s="7"/>
      <c r="N210" s="7"/>
      <c r="O210" s="7"/>
      <c r="P210" s="7"/>
      <c r="Q210" s="7"/>
      <c r="R210" s="7"/>
      <c r="S210" s="7"/>
      <c r="T210" s="7"/>
      <c r="U210" s="7"/>
      <c r="V210" s="7"/>
      <c r="W210" s="7"/>
      <c r="X210" s="7"/>
      <c r="Y210" s="7"/>
    </row>
    <row r="211" spans="1:25" x14ac:dyDescent="0.15">
      <c r="A211" s="4"/>
      <c r="B211" s="7"/>
      <c r="C211" s="7"/>
      <c r="D211" s="5"/>
      <c r="E211" s="7"/>
      <c r="F211" s="5"/>
      <c r="G211" s="7"/>
      <c r="H211" s="7"/>
      <c r="I211" s="7"/>
      <c r="J211" s="7"/>
      <c r="K211" s="7"/>
      <c r="L211" s="7"/>
      <c r="M211" s="7"/>
      <c r="N211" s="7"/>
      <c r="O211" s="7"/>
      <c r="P211" s="7"/>
      <c r="Q211" s="7"/>
      <c r="R211" s="7"/>
      <c r="S211" s="7"/>
      <c r="T211" s="7"/>
      <c r="U211" s="7"/>
      <c r="V211" s="7"/>
      <c r="W211" s="7"/>
      <c r="X211" s="7"/>
      <c r="Y211" s="7"/>
    </row>
    <row r="212" spans="1:25" x14ac:dyDescent="0.15">
      <c r="A212" s="4"/>
      <c r="B212" s="7"/>
      <c r="C212" s="7"/>
      <c r="D212" s="5"/>
      <c r="E212" s="7"/>
      <c r="F212" s="5"/>
      <c r="G212" s="7"/>
      <c r="H212" s="7"/>
      <c r="I212" s="7"/>
      <c r="J212" s="7"/>
      <c r="K212" s="7"/>
      <c r="L212" s="7"/>
      <c r="M212" s="7"/>
      <c r="N212" s="7"/>
      <c r="O212" s="7"/>
      <c r="P212" s="7"/>
      <c r="Q212" s="7"/>
      <c r="R212" s="7"/>
      <c r="S212" s="7"/>
      <c r="T212" s="7"/>
      <c r="U212" s="7"/>
      <c r="V212" s="7"/>
      <c r="W212" s="7"/>
      <c r="X212" s="7"/>
      <c r="Y212" s="7"/>
    </row>
    <row r="213" spans="1:25" x14ac:dyDescent="0.15">
      <c r="A213" s="4"/>
      <c r="B213" s="7"/>
      <c r="C213" s="7"/>
      <c r="D213" s="5"/>
      <c r="E213" s="7"/>
      <c r="F213" s="5"/>
      <c r="G213" s="7"/>
      <c r="H213" s="7"/>
      <c r="I213" s="7"/>
      <c r="J213" s="7"/>
      <c r="K213" s="7"/>
      <c r="L213" s="7"/>
      <c r="M213" s="7"/>
      <c r="N213" s="7"/>
      <c r="O213" s="7"/>
      <c r="P213" s="7"/>
      <c r="Q213" s="7"/>
      <c r="R213" s="7"/>
      <c r="S213" s="7"/>
      <c r="T213" s="7"/>
      <c r="U213" s="7"/>
      <c r="V213" s="7"/>
      <c r="W213" s="7"/>
      <c r="X213" s="7"/>
      <c r="Y213" s="7"/>
    </row>
    <row r="214" spans="1:25" x14ac:dyDescent="0.15">
      <c r="A214" s="4"/>
      <c r="B214" s="7"/>
      <c r="C214" s="7"/>
      <c r="D214" s="5"/>
      <c r="E214" s="7"/>
      <c r="F214" s="5"/>
      <c r="G214" s="7"/>
      <c r="H214" s="7"/>
      <c r="I214" s="7"/>
      <c r="J214" s="7"/>
      <c r="K214" s="7"/>
      <c r="L214" s="7"/>
      <c r="M214" s="7"/>
      <c r="N214" s="7"/>
      <c r="O214" s="7"/>
      <c r="P214" s="7"/>
      <c r="Q214" s="7"/>
      <c r="R214" s="7"/>
      <c r="S214" s="7"/>
      <c r="T214" s="7"/>
      <c r="U214" s="7"/>
      <c r="V214" s="7"/>
      <c r="W214" s="7"/>
      <c r="X214" s="7"/>
      <c r="Y214" s="7"/>
    </row>
    <row r="215" spans="1:25" x14ac:dyDescent="0.15">
      <c r="A215" s="4"/>
      <c r="B215" s="7"/>
      <c r="C215" s="7"/>
      <c r="D215" s="5"/>
      <c r="E215" s="7"/>
      <c r="F215" s="5"/>
      <c r="G215" s="7"/>
      <c r="H215" s="7"/>
      <c r="I215" s="7"/>
      <c r="J215" s="7"/>
      <c r="K215" s="7"/>
      <c r="L215" s="7"/>
      <c r="M215" s="7"/>
      <c r="N215" s="7"/>
      <c r="O215" s="7"/>
      <c r="P215" s="7"/>
      <c r="Q215" s="7"/>
      <c r="R215" s="7"/>
      <c r="S215" s="7"/>
      <c r="T215" s="7"/>
      <c r="U215" s="7"/>
      <c r="V215" s="7"/>
      <c r="W215" s="7"/>
      <c r="X215" s="7"/>
      <c r="Y215" s="7"/>
    </row>
    <row r="216" spans="1:25" x14ac:dyDescent="0.15">
      <c r="A216" s="4"/>
      <c r="B216" s="7"/>
      <c r="C216" s="7"/>
      <c r="D216" s="5"/>
      <c r="E216" s="7"/>
      <c r="F216" s="5"/>
      <c r="G216" s="7"/>
      <c r="H216" s="7"/>
      <c r="I216" s="7"/>
      <c r="J216" s="7"/>
      <c r="K216" s="7"/>
      <c r="L216" s="7"/>
      <c r="M216" s="7"/>
      <c r="N216" s="7"/>
      <c r="O216" s="7"/>
      <c r="P216" s="7"/>
      <c r="Q216" s="7"/>
      <c r="R216" s="7"/>
      <c r="S216" s="7"/>
      <c r="T216" s="7"/>
      <c r="U216" s="7"/>
      <c r="V216" s="7"/>
      <c r="W216" s="7"/>
      <c r="X216" s="7"/>
      <c r="Y216" s="7"/>
    </row>
    <row r="217" spans="1:25" x14ac:dyDescent="0.15">
      <c r="A217" s="4"/>
      <c r="B217" s="7"/>
      <c r="C217" s="7"/>
      <c r="D217" s="5"/>
      <c r="E217" s="7"/>
      <c r="F217" s="5"/>
      <c r="G217" s="7"/>
      <c r="H217" s="7"/>
      <c r="I217" s="7"/>
      <c r="J217" s="7"/>
      <c r="K217" s="7"/>
      <c r="L217" s="7"/>
      <c r="M217" s="7"/>
      <c r="N217" s="7"/>
      <c r="O217" s="7"/>
      <c r="P217" s="7"/>
      <c r="Q217" s="7"/>
      <c r="R217" s="7"/>
      <c r="S217" s="7"/>
      <c r="T217" s="7"/>
      <c r="U217" s="7"/>
      <c r="V217" s="7"/>
      <c r="W217" s="7"/>
      <c r="X217" s="7"/>
      <c r="Y217" s="7"/>
    </row>
    <row r="218" spans="1:25" x14ac:dyDescent="0.15">
      <c r="A218" s="4"/>
      <c r="B218" s="7"/>
      <c r="C218" s="7"/>
      <c r="D218" s="5"/>
      <c r="E218" s="7"/>
      <c r="F218" s="5"/>
      <c r="G218" s="7"/>
      <c r="H218" s="7"/>
      <c r="I218" s="7"/>
      <c r="J218" s="7"/>
      <c r="K218" s="7"/>
      <c r="L218" s="7"/>
      <c r="M218" s="7"/>
      <c r="N218" s="7"/>
      <c r="O218" s="7"/>
      <c r="P218" s="7"/>
      <c r="Q218" s="7"/>
      <c r="R218" s="7"/>
      <c r="S218" s="7"/>
      <c r="T218" s="7"/>
      <c r="U218" s="7"/>
      <c r="V218" s="7"/>
      <c r="W218" s="7"/>
      <c r="X218" s="7"/>
      <c r="Y218" s="7"/>
    </row>
    <row r="219" spans="1:25" x14ac:dyDescent="0.15">
      <c r="A219" s="4"/>
      <c r="B219" s="7"/>
      <c r="C219" s="7"/>
      <c r="D219" s="5"/>
      <c r="E219" s="7"/>
      <c r="F219" s="5"/>
      <c r="G219" s="7"/>
      <c r="H219" s="7"/>
      <c r="I219" s="7"/>
      <c r="J219" s="7"/>
      <c r="K219" s="7"/>
      <c r="L219" s="7"/>
      <c r="M219" s="7"/>
      <c r="N219" s="7"/>
      <c r="O219" s="7"/>
      <c r="P219" s="7"/>
      <c r="Q219" s="7"/>
      <c r="R219" s="7"/>
      <c r="S219" s="7"/>
      <c r="T219" s="7"/>
      <c r="U219" s="7"/>
      <c r="V219" s="7"/>
      <c r="W219" s="7"/>
      <c r="X219" s="7"/>
      <c r="Y219" s="7"/>
    </row>
    <row r="220" spans="1:25" x14ac:dyDescent="0.15">
      <c r="A220" s="4"/>
      <c r="B220" s="7"/>
      <c r="C220" s="7"/>
      <c r="D220" s="5"/>
      <c r="E220" s="7"/>
      <c r="F220" s="5"/>
      <c r="G220" s="7"/>
      <c r="H220" s="7"/>
      <c r="I220" s="7"/>
      <c r="J220" s="7"/>
      <c r="K220" s="7"/>
      <c r="L220" s="7"/>
      <c r="M220" s="7"/>
      <c r="N220" s="7"/>
      <c r="O220" s="7"/>
      <c r="P220" s="7"/>
      <c r="Q220" s="7"/>
      <c r="R220" s="7"/>
      <c r="S220" s="7"/>
      <c r="T220" s="7"/>
      <c r="U220" s="7"/>
      <c r="V220" s="7"/>
      <c r="W220" s="7"/>
      <c r="X220" s="7"/>
      <c r="Y220" s="7"/>
    </row>
    <row r="221" spans="1:25" x14ac:dyDescent="0.15">
      <c r="A221" s="4"/>
      <c r="B221" s="7"/>
      <c r="C221" s="7"/>
      <c r="D221" s="5"/>
      <c r="E221" s="7"/>
      <c r="F221" s="5"/>
      <c r="G221" s="7"/>
      <c r="H221" s="7"/>
      <c r="I221" s="7"/>
      <c r="J221" s="7"/>
      <c r="K221" s="7"/>
      <c r="L221" s="7"/>
      <c r="M221" s="7"/>
      <c r="N221" s="7"/>
      <c r="O221" s="7"/>
      <c r="P221" s="7"/>
      <c r="Q221" s="7"/>
      <c r="R221" s="7"/>
      <c r="S221" s="7"/>
      <c r="T221" s="7"/>
      <c r="U221" s="7"/>
      <c r="V221" s="7"/>
      <c r="W221" s="7"/>
      <c r="X221" s="7"/>
      <c r="Y221" s="7"/>
    </row>
    <row r="222" spans="1:25" x14ac:dyDescent="0.15">
      <c r="A222" s="4"/>
      <c r="B222" s="7"/>
      <c r="C222" s="7"/>
      <c r="D222" s="5"/>
      <c r="E222" s="7"/>
      <c r="F222" s="5"/>
      <c r="G222" s="7"/>
      <c r="H222" s="7"/>
      <c r="I222" s="7"/>
      <c r="J222" s="7"/>
      <c r="K222" s="7"/>
      <c r="L222" s="7"/>
      <c r="M222" s="7"/>
      <c r="N222" s="7"/>
      <c r="O222" s="7"/>
      <c r="P222" s="7"/>
      <c r="Q222" s="7"/>
      <c r="R222" s="7"/>
      <c r="S222" s="7"/>
      <c r="T222" s="7"/>
      <c r="U222" s="7"/>
      <c r="V222" s="7"/>
      <c r="W222" s="7"/>
      <c r="X222" s="7"/>
      <c r="Y222" s="7"/>
    </row>
    <row r="223" spans="1:25" x14ac:dyDescent="0.15">
      <c r="A223" s="4"/>
      <c r="B223" s="7"/>
      <c r="C223" s="7"/>
      <c r="D223" s="5"/>
      <c r="E223" s="7"/>
      <c r="F223" s="5"/>
      <c r="G223" s="7"/>
      <c r="H223" s="7"/>
      <c r="I223" s="7"/>
      <c r="J223" s="7"/>
      <c r="K223" s="7"/>
      <c r="L223" s="7"/>
      <c r="M223" s="7"/>
      <c r="N223" s="7"/>
      <c r="O223" s="7"/>
      <c r="P223" s="7"/>
      <c r="Q223" s="7"/>
      <c r="R223" s="7"/>
      <c r="S223" s="7"/>
      <c r="T223" s="7"/>
      <c r="U223" s="7"/>
      <c r="V223" s="7"/>
      <c r="W223" s="7"/>
      <c r="X223" s="7"/>
      <c r="Y223" s="7"/>
    </row>
    <row r="224" spans="1:25" x14ac:dyDescent="0.15">
      <c r="A224" s="4"/>
      <c r="B224" s="7"/>
      <c r="C224" s="7"/>
      <c r="D224" s="5"/>
      <c r="E224" s="7"/>
      <c r="F224" s="5"/>
      <c r="G224" s="7"/>
      <c r="H224" s="7"/>
      <c r="I224" s="7"/>
      <c r="J224" s="7"/>
      <c r="K224" s="7"/>
      <c r="L224" s="7"/>
      <c r="M224" s="7"/>
      <c r="N224" s="7"/>
      <c r="O224" s="7"/>
      <c r="P224" s="7"/>
      <c r="Q224" s="7"/>
      <c r="R224" s="7"/>
      <c r="S224" s="7"/>
      <c r="T224" s="7"/>
      <c r="U224" s="7"/>
      <c r="V224" s="7"/>
      <c r="W224" s="7"/>
      <c r="X224" s="7"/>
      <c r="Y224" s="7"/>
    </row>
    <row r="225" spans="1:25" x14ac:dyDescent="0.15">
      <c r="A225" s="4"/>
      <c r="B225" s="7"/>
      <c r="C225" s="7"/>
      <c r="D225" s="5"/>
      <c r="E225" s="7"/>
      <c r="F225" s="5"/>
      <c r="G225" s="7"/>
      <c r="H225" s="7"/>
      <c r="I225" s="7"/>
      <c r="J225" s="7"/>
      <c r="K225" s="7"/>
      <c r="L225" s="7"/>
      <c r="M225" s="7"/>
      <c r="N225" s="7"/>
      <c r="O225" s="7"/>
      <c r="P225" s="7"/>
      <c r="Q225" s="7"/>
      <c r="R225" s="7"/>
      <c r="S225" s="7"/>
      <c r="T225" s="7"/>
      <c r="U225" s="7"/>
      <c r="V225" s="7"/>
      <c r="W225" s="7"/>
      <c r="X225" s="7"/>
      <c r="Y225" s="7"/>
    </row>
    <row r="226" spans="1:25" x14ac:dyDescent="0.15">
      <c r="A226" s="4"/>
      <c r="B226" s="7"/>
      <c r="C226" s="7"/>
      <c r="D226" s="5"/>
      <c r="E226" s="7"/>
      <c r="F226" s="5"/>
      <c r="G226" s="7"/>
      <c r="H226" s="7"/>
      <c r="I226" s="7"/>
      <c r="J226" s="7"/>
      <c r="K226" s="7"/>
      <c r="L226" s="7"/>
      <c r="M226" s="7"/>
      <c r="N226" s="7"/>
      <c r="O226" s="7"/>
      <c r="P226" s="7"/>
      <c r="Q226" s="7"/>
      <c r="R226" s="7"/>
      <c r="S226" s="7"/>
      <c r="T226" s="7"/>
      <c r="U226" s="7"/>
      <c r="V226" s="7"/>
      <c r="W226" s="7"/>
      <c r="X226" s="7"/>
      <c r="Y226" s="7"/>
    </row>
    <row r="227" spans="1:25" x14ac:dyDescent="0.15">
      <c r="A227" s="4"/>
      <c r="B227" s="7"/>
      <c r="C227" s="7"/>
      <c r="D227" s="5"/>
      <c r="E227" s="7"/>
      <c r="F227" s="5"/>
      <c r="G227" s="7"/>
      <c r="H227" s="7"/>
      <c r="I227" s="7"/>
      <c r="J227" s="7"/>
      <c r="K227" s="7"/>
      <c r="L227" s="7"/>
      <c r="M227" s="7"/>
      <c r="N227" s="7"/>
      <c r="O227" s="7"/>
      <c r="P227" s="7"/>
      <c r="Q227" s="7"/>
      <c r="R227" s="7"/>
      <c r="S227" s="7"/>
      <c r="T227" s="7"/>
      <c r="U227" s="7"/>
      <c r="V227" s="7"/>
      <c r="W227" s="7"/>
      <c r="X227" s="7"/>
      <c r="Y227" s="7"/>
    </row>
    <row r="228" spans="1:25" x14ac:dyDescent="0.15">
      <c r="A228" s="4"/>
      <c r="B228" s="7"/>
      <c r="C228" s="7"/>
      <c r="D228" s="5"/>
      <c r="E228" s="7"/>
      <c r="F228" s="5"/>
      <c r="G228" s="7"/>
      <c r="H228" s="7"/>
      <c r="I228" s="7"/>
      <c r="J228" s="7"/>
      <c r="K228" s="7"/>
      <c r="L228" s="7"/>
      <c r="M228" s="7"/>
      <c r="N228" s="7"/>
      <c r="O228" s="7"/>
      <c r="P228" s="7"/>
      <c r="Q228" s="7"/>
      <c r="R228" s="7"/>
      <c r="S228" s="7"/>
      <c r="T228" s="7"/>
      <c r="U228" s="7"/>
      <c r="V228" s="7"/>
      <c r="W228" s="7"/>
      <c r="X228" s="7"/>
      <c r="Y228" s="7"/>
    </row>
    <row r="229" spans="1:25" x14ac:dyDescent="0.15">
      <c r="A229" s="4"/>
      <c r="B229" s="7"/>
      <c r="C229" s="7"/>
      <c r="D229" s="5"/>
      <c r="E229" s="7"/>
      <c r="F229" s="5"/>
      <c r="G229" s="7"/>
      <c r="H229" s="7"/>
      <c r="I229" s="7"/>
      <c r="J229" s="7"/>
      <c r="K229" s="7"/>
      <c r="L229" s="7"/>
      <c r="M229" s="7"/>
      <c r="N229" s="7"/>
      <c r="O229" s="7"/>
      <c r="P229" s="7"/>
      <c r="Q229" s="7"/>
      <c r="R229" s="7"/>
      <c r="S229" s="7"/>
      <c r="T229" s="7"/>
      <c r="U229" s="7"/>
      <c r="V229" s="7"/>
      <c r="W229" s="7"/>
      <c r="X229" s="7"/>
      <c r="Y229" s="7"/>
    </row>
    <row r="230" spans="1:25" x14ac:dyDescent="0.15">
      <c r="A230" s="4"/>
      <c r="B230" s="7"/>
      <c r="C230" s="7"/>
      <c r="D230" s="5"/>
      <c r="E230" s="7"/>
      <c r="F230" s="5"/>
      <c r="G230" s="7"/>
      <c r="H230" s="7"/>
      <c r="I230" s="7"/>
      <c r="J230" s="7"/>
      <c r="K230" s="7"/>
      <c r="L230" s="7"/>
      <c r="M230" s="7"/>
      <c r="N230" s="7"/>
      <c r="O230" s="7"/>
      <c r="P230" s="7"/>
      <c r="Q230" s="7"/>
      <c r="R230" s="7"/>
      <c r="S230" s="7"/>
      <c r="T230" s="7"/>
      <c r="U230" s="7"/>
      <c r="V230" s="7"/>
      <c r="W230" s="7"/>
      <c r="X230" s="7"/>
      <c r="Y230" s="7"/>
    </row>
    <row r="231" spans="1:25" x14ac:dyDescent="0.15">
      <c r="A231" s="4"/>
      <c r="B231" s="7"/>
      <c r="C231" s="7"/>
      <c r="D231" s="5"/>
      <c r="E231" s="7"/>
      <c r="F231" s="5"/>
      <c r="G231" s="7"/>
      <c r="H231" s="7"/>
      <c r="I231" s="7"/>
      <c r="J231" s="7"/>
      <c r="K231" s="7"/>
      <c r="L231" s="7"/>
      <c r="M231" s="7"/>
      <c r="N231" s="7"/>
      <c r="O231" s="7"/>
      <c r="P231" s="7"/>
      <c r="Q231" s="7"/>
      <c r="R231" s="7"/>
      <c r="S231" s="7"/>
      <c r="T231" s="7"/>
      <c r="U231" s="7"/>
      <c r="V231" s="7"/>
      <c r="W231" s="7"/>
      <c r="X231" s="7"/>
      <c r="Y231" s="7"/>
    </row>
    <row r="232" spans="1:25" x14ac:dyDescent="0.15">
      <c r="A232" s="4"/>
      <c r="B232" s="7"/>
      <c r="C232" s="7"/>
      <c r="D232" s="5"/>
      <c r="E232" s="7"/>
      <c r="F232" s="5"/>
      <c r="G232" s="7"/>
      <c r="H232" s="7"/>
      <c r="I232" s="7"/>
      <c r="J232" s="7"/>
      <c r="K232" s="7"/>
      <c r="L232" s="7"/>
      <c r="M232" s="7"/>
      <c r="N232" s="7"/>
      <c r="O232" s="7"/>
      <c r="P232" s="7"/>
      <c r="Q232" s="7"/>
      <c r="R232" s="7"/>
      <c r="S232" s="7"/>
      <c r="T232" s="7"/>
      <c r="U232" s="7"/>
      <c r="V232" s="7"/>
      <c r="W232" s="7"/>
      <c r="X232" s="7"/>
      <c r="Y232" s="7"/>
    </row>
    <row r="233" spans="1:25" x14ac:dyDescent="0.15">
      <c r="A233" s="4"/>
      <c r="B233" s="7"/>
      <c r="C233" s="7"/>
      <c r="D233" s="5"/>
      <c r="E233" s="7"/>
      <c r="F233" s="5"/>
      <c r="G233" s="7"/>
      <c r="H233" s="7"/>
      <c r="I233" s="7"/>
      <c r="J233" s="7"/>
      <c r="K233" s="7"/>
      <c r="L233" s="7"/>
      <c r="M233" s="7"/>
      <c r="N233" s="7"/>
      <c r="O233" s="7"/>
      <c r="P233" s="7"/>
      <c r="Q233" s="7"/>
      <c r="R233" s="7"/>
      <c r="S233" s="7"/>
      <c r="T233" s="7"/>
      <c r="U233" s="7"/>
      <c r="V233" s="7"/>
      <c r="W233" s="7"/>
      <c r="X233" s="7"/>
      <c r="Y233" s="7"/>
    </row>
    <row r="234" spans="1:25" x14ac:dyDescent="0.15">
      <c r="A234" s="4"/>
      <c r="B234" s="7"/>
      <c r="C234" s="7"/>
      <c r="D234" s="5"/>
      <c r="E234" s="7"/>
      <c r="F234" s="5"/>
      <c r="G234" s="7"/>
      <c r="H234" s="7"/>
      <c r="I234" s="7"/>
      <c r="J234" s="7"/>
      <c r="K234" s="7"/>
      <c r="L234" s="7"/>
      <c r="M234" s="7"/>
      <c r="N234" s="7"/>
      <c r="O234" s="7"/>
      <c r="P234" s="7"/>
      <c r="Q234" s="7"/>
      <c r="R234" s="7"/>
      <c r="S234" s="7"/>
      <c r="T234" s="7"/>
      <c r="U234" s="7"/>
      <c r="V234" s="7"/>
      <c r="W234" s="7"/>
      <c r="X234" s="7"/>
      <c r="Y234" s="7"/>
    </row>
    <row r="235" spans="1:25" x14ac:dyDescent="0.15">
      <c r="A235" s="4"/>
      <c r="B235" s="7"/>
      <c r="C235" s="7"/>
      <c r="D235" s="5"/>
      <c r="E235" s="7"/>
      <c r="F235" s="5"/>
      <c r="G235" s="7"/>
      <c r="H235" s="7"/>
      <c r="I235" s="7"/>
      <c r="J235" s="7"/>
      <c r="K235" s="7"/>
      <c r="L235" s="7"/>
      <c r="M235" s="7"/>
      <c r="N235" s="7"/>
      <c r="O235" s="7"/>
      <c r="P235" s="7"/>
      <c r="Q235" s="7"/>
      <c r="R235" s="7"/>
      <c r="S235" s="7"/>
      <c r="T235" s="7"/>
      <c r="U235" s="7"/>
      <c r="V235" s="7"/>
      <c r="W235" s="7"/>
      <c r="X235" s="7"/>
      <c r="Y235" s="7"/>
    </row>
    <row r="236" spans="1:25" x14ac:dyDescent="0.15">
      <c r="A236" s="4"/>
      <c r="B236" s="7"/>
      <c r="C236" s="7"/>
      <c r="D236" s="5"/>
      <c r="E236" s="7"/>
      <c r="F236" s="5"/>
      <c r="G236" s="7"/>
      <c r="H236" s="7"/>
      <c r="I236" s="7"/>
      <c r="J236" s="7"/>
      <c r="K236" s="7"/>
      <c r="L236" s="7"/>
      <c r="M236" s="7"/>
      <c r="N236" s="7"/>
      <c r="O236" s="7"/>
      <c r="P236" s="7"/>
      <c r="Q236" s="7"/>
      <c r="R236" s="7"/>
      <c r="S236" s="7"/>
      <c r="T236" s="7"/>
      <c r="U236" s="7"/>
      <c r="V236" s="7"/>
      <c r="W236" s="7"/>
      <c r="X236" s="7"/>
      <c r="Y236" s="7"/>
    </row>
    <row r="237" spans="1:25" x14ac:dyDescent="0.15">
      <c r="A237" s="4"/>
      <c r="B237" s="7"/>
      <c r="C237" s="7"/>
      <c r="D237" s="5"/>
      <c r="E237" s="7"/>
      <c r="F237" s="5"/>
      <c r="G237" s="7"/>
      <c r="H237" s="7"/>
      <c r="I237" s="7"/>
      <c r="J237" s="7"/>
      <c r="K237" s="7"/>
      <c r="L237" s="7"/>
      <c r="M237" s="7"/>
      <c r="N237" s="7"/>
      <c r="O237" s="7"/>
      <c r="P237" s="7"/>
      <c r="Q237" s="7"/>
      <c r="R237" s="7"/>
      <c r="S237" s="7"/>
      <c r="T237" s="7"/>
      <c r="U237" s="7"/>
      <c r="V237" s="7"/>
      <c r="W237" s="7"/>
      <c r="X237" s="7"/>
      <c r="Y237" s="7"/>
    </row>
    <row r="238" spans="1:25" x14ac:dyDescent="0.15">
      <c r="A238" s="4"/>
      <c r="B238" s="7"/>
      <c r="C238" s="7"/>
      <c r="D238" s="5"/>
      <c r="E238" s="7"/>
      <c r="F238" s="5"/>
      <c r="G238" s="7"/>
      <c r="H238" s="7"/>
      <c r="I238" s="7"/>
      <c r="J238" s="7"/>
      <c r="K238" s="7"/>
      <c r="L238" s="7"/>
      <c r="M238" s="7"/>
      <c r="N238" s="7"/>
      <c r="O238" s="7"/>
      <c r="P238" s="7"/>
      <c r="Q238" s="7"/>
      <c r="R238" s="7"/>
      <c r="S238" s="7"/>
      <c r="T238" s="7"/>
      <c r="U238" s="7"/>
      <c r="V238" s="7"/>
      <c r="W238" s="7"/>
      <c r="X238" s="7"/>
      <c r="Y238" s="7"/>
    </row>
    <row r="239" spans="1:25" x14ac:dyDescent="0.15">
      <c r="A239" s="4"/>
      <c r="B239" s="7"/>
      <c r="C239" s="7"/>
      <c r="D239" s="5"/>
      <c r="E239" s="7"/>
      <c r="F239" s="5"/>
      <c r="G239" s="7"/>
      <c r="H239" s="7"/>
      <c r="I239" s="7"/>
      <c r="J239" s="7"/>
      <c r="K239" s="7"/>
      <c r="L239" s="7"/>
      <c r="M239" s="7"/>
      <c r="N239" s="7"/>
      <c r="O239" s="7"/>
      <c r="P239" s="7"/>
      <c r="Q239" s="7"/>
      <c r="R239" s="7"/>
      <c r="S239" s="7"/>
      <c r="T239" s="7"/>
      <c r="U239" s="7"/>
      <c r="V239" s="7"/>
      <c r="W239" s="7"/>
      <c r="X239" s="7"/>
      <c r="Y239" s="7"/>
    </row>
    <row r="240" spans="1:25" x14ac:dyDescent="0.15">
      <c r="A240" s="4"/>
      <c r="B240" s="7"/>
      <c r="C240" s="7"/>
      <c r="D240" s="5"/>
      <c r="E240" s="7"/>
      <c r="F240" s="5"/>
      <c r="G240" s="7"/>
      <c r="H240" s="7"/>
      <c r="I240" s="7"/>
      <c r="J240" s="7"/>
      <c r="K240" s="7"/>
      <c r="L240" s="7"/>
      <c r="M240" s="7"/>
      <c r="N240" s="7"/>
      <c r="O240" s="7"/>
      <c r="P240" s="7"/>
      <c r="Q240" s="7"/>
      <c r="R240" s="7"/>
      <c r="S240" s="7"/>
      <c r="T240" s="7"/>
      <c r="U240" s="7"/>
      <c r="V240" s="7"/>
      <c r="W240" s="7"/>
      <c r="X240" s="7"/>
      <c r="Y240" s="7"/>
    </row>
    <row r="241" spans="1:25" x14ac:dyDescent="0.15">
      <c r="A241" s="4"/>
      <c r="B241" s="7"/>
      <c r="C241" s="7"/>
      <c r="D241" s="5"/>
      <c r="E241" s="7"/>
      <c r="F241" s="5"/>
      <c r="G241" s="7"/>
      <c r="H241" s="7"/>
      <c r="I241" s="7"/>
      <c r="J241" s="7"/>
      <c r="K241" s="7"/>
      <c r="L241" s="7"/>
      <c r="M241" s="7"/>
      <c r="N241" s="7"/>
      <c r="O241" s="7"/>
      <c r="P241" s="7"/>
      <c r="Q241" s="7"/>
      <c r="R241" s="7"/>
      <c r="S241" s="7"/>
      <c r="T241" s="7"/>
      <c r="U241" s="7"/>
      <c r="V241" s="7"/>
      <c r="W241" s="7"/>
      <c r="X241" s="7"/>
      <c r="Y241" s="7"/>
    </row>
    <row r="242" spans="1:25" x14ac:dyDescent="0.15">
      <c r="A242" s="4"/>
      <c r="B242" s="7"/>
      <c r="C242" s="7"/>
      <c r="D242" s="5"/>
      <c r="E242" s="7"/>
      <c r="F242" s="5"/>
      <c r="G242" s="7"/>
      <c r="H242" s="7"/>
      <c r="I242" s="7"/>
      <c r="J242" s="7"/>
      <c r="K242" s="7"/>
      <c r="L242" s="7"/>
      <c r="M242" s="7"/>
      <c r="N242" s="7"/>
      <c r="O242" s="7"/>
      <c r="P242" s="7"/>
      <c r="Q242" s="7"/>
      <c r="R242" s="7"/>
      <c r="S242" s="7"/>
      <c r="T242" s="7"/>
      <c r="U242" s="7"/>
      <c r="V242" s="7"/>
      <c r="W242" s="7"/>
      <c r="X242" s="7"/>
      <c r="Y242" s="7"/>
    </row>
    <row r="243" spans="1:25" x14ac:dyDescent="0.15">
      <c r="A243" s="4"/>
      <c r="B243" s="7"/>
      <c r="C243" s="7"/>
      <c r="D243" s="5"/>
      <c r="E243" s="7"/>
      <c r="F243" s="5"/>
      <c r="G243" s="7"/>
      <c r="H243" s="7"/>
      <c r="I243" s="7"/>
      <c r="J243" s="7"/>
      <c r="K243" s="7"/>
      <c r="L243" s="7"/>
      <c r="M243" s="7"/>
      <c r="N243" s="7"/>
      <c r="O243" s="7"/>
      <c r="P243" s="7"/>
      <c r="Q243" s="7"/>
      <c r="R243" s="7"/>
      <c r="S243" s="7"/>
      <c r="T243" s="7"/>
      <c r="U243" s="7"/>
      <c r="V243" s="7"/>
      <c r="W243" s="7"/>
      <c r="X243" s="7"/>
      <c r="Y243" s="7"/>
    </row>
    <row r="244" spans="1:25" x14ac:dyDescent="0.15">
      <c r="A244" s="4"/>
      <c r="B244" s="7"/>
      <c r="C244" s="7"/>
      <c r="D244" s="5"/>
      <c r="E244" s="7"/>
      <c r="F244" s="5"/>
      <c r="G244" s="7"/>
      <c r="H244" s="7"/>
      <c r="I244" s="7"/>
      <c r="J244" s="7"/>
      <c r="K244" s="7"/>
      <c r="L244" s="7"/>
      <c r="M244" s="7"/>
      <c r="N244" s="7"/>
      <c r="O244" s="7"/>
      <c r="P244" s="7"/>
      <c r="Q244" s="7"/>
      <c r="R244" s="7"/>
      <c r="S244" s="7"/>
      <c r="T244" s="7"/>
      <c r="U244" s="7"/>
      <c r="V244" s="7"/>
      <c r="W244" s="7"/>
      <c r="X244" s="7"/>
      <c r="Y244" s="7"/>
    </row>
    <row r="245" spans="1:25" x14ac:dyDescent="0.15">
      <c r="A245" s="4"/>
      <c r="B245" s="7"/>
      <c r="C245" s="7"/>
      <c r="D245" s="5"/>
      <c r="E245" s="7"/>
      <c r="F245" s="5"/>
      <c r="G245" s="7"/>
      <c r="H245" s="7"/>
      <c r="I245" s="7"/>
      <c r="J245" s="7"/>
      <c r="K245" s="7"/>
      <c r="L245" s="7"/>
      <c r="M245" s="7"/>
      <c r="N245" s="7"/>
      <c r="O245" s="7"/>
      <c r="P245" s="7"/>
      <c r="Q245" s="7"/>
      <c r="R245" s="7"/>
      <c r="S245" s="7"/>
      <c r="T245" s="7"/>
      <c r="U245" s="7"/>
      <c r="V245" s="7"/>
      <c r="W245" s="7"/>
      <c r="X245" s="7"/>
      <c r="Y245" s="7"/>
    </row>
    <row r="246" spans="1:25" x14ac:dyDescent="0.15">
      <c r="A246" s="4"/>
      <c r="B246" s="7"/>
      <c r="C246" s="7"/>
      <c r="D246" s="5"/>
      <c r="E246" s="7"/>
      <c r="F246" s="5"/>
      <c r="G246" s="7"/>
      <c r="H246" s="7"/>
      <c r="I246" s="7"/>
      <c r="J246" s="7"/>
      <c r="K246" s="7"/>
      <c r="L246" s="7"/>
      <c r="M246" s="7"/>
      <c r="N246" s="7"/>
      <c r="O246" s="7"/>
      <c r="P246" s="7"/>
      <c r="Q246" s="7"/>
      <c r="R246" s="7"/>
      <c r="S246" s="7"/>
      <c r="T246" s="7"/>
      <c r="U246" s="7"/>
      <c r="V246" s="7"/>
      <c r="W246" s="7"/>
      <c r="X246" s="7"/>
      <c r="Y246" s="7"/>
    </row>
    <row r="247" spans="1:25" x14ac:dyDescent="0.15">
      <c r="A247" s="4"/>
      <c r="B247" s="7"/>
      <c r="C247" s="7"/>
      <c r="D247" s="5"/>
      <c r="E247" s="7"/>
      <c r="F247" s="5"/>
      <c r="G247" s="7"/>
      <c r="H247" s="7"/>
      <c r="I247" s="7"/>
      <c r="J247" s="7"/>
      <c r="K247" s="7"/>
      <c r="L247" s="7"/>
      <c r="M247" s="7"/>
      <c r="N247" s="7"/>
      <c r="O247" s="7"/>
      <c r="P247" s="7"/>
      <c r="Q247" s="7"/>
      <c r="R247" s="7"/>
      <c r="S247" s="7"/>
      <c r="T247" s="7"/>
      <c r="U247" s="7"/>
      <c r="V247" s="7"/>
      <c r="W247" s="7"/>
      <c r="X247" s="7"/>
      <c r="Y247" s="7"/>
    </row>
    <row r="248" spans="1:25" x14ac:dyDescent="0.15">
      <c r="A248" s="4"/>
      <c r="B248" s="7"/>
      <c r="C248" s="7"/>
      <c r="D248" s="5"/>
      <c r="E248" s="7"/>
      <c r="F248" s="5"/>
      <c r="G248" s="7"/>
      <c r="H248" s="7"/>
      <c r="I248" s="7"/>
      <c r="J248" s="7"/>
      <c r="K248" s="7"/>
      <c r="L248" s="7"/>
      <c r="M248" s="7"/>
      <c r="N248" s="7"/>
      <c r="O248" s="7"/>
      <c r="P248" s="7"/>
      <c r="Q248" s="7"/>
      <c r="R248" s="7"/>
      <c r="S248" s="7"/>
      <c r="T248" s="7"/>
      <c r="U248" s="7"/>
      <c r="V248" s="7"/>
      <c r="W248" s="7"/>
      <c r="X248" s="7"/>
      <c r="Y248" s="7"/>
    </row>
    <row r="249" spans="1:25" x14ac:dyDescent="0.15">
      <c r="A249" s="4"/>
      <c r="B249" s="7"/>
      <c r="C249" s="7"/>
      <c r="D249" s="5"/>
      <c r="E249" s="7"/>
      <c r="F249" s="5"/>
      <c r="G249" s="7"/>
      <c r="H249" s="7"/>
      <c r="I249" s="7"/>
      <c r="J249" s="7"/>
      <c r="K249" s="7"/>
      <c r="L249" s="7"/>
      <c r="M249" s="7"/>
      <c r="N249" s="7"/>
      <c r="O249" s="7"/>
      <c r="P249" s="7"/>
      <c r="Q249" s="7"/>
      <c r="R249" s="7"/>
      <c r="S249" s="7"/>
      <c r="T249" s="7"/>
      <c r="U249" s="7"/>
      <c r="V249" s="7"/>
      <c r="W249" s="7"/>
      <c r="X249" s="7"/>
      <c r="Y249" s="7"/>
    </row>
    <row r="250" spans="1:25" x14ac:dyDescent="0.15">
      <c r="A250" s="4"/>
      <c r="B250" s="7"/>
      <c r="C250" s="7"/>
      <c r="D250" s="5"/>
      <c r="E250" s="7"/>
      <c r="F250" s="5"/>
      <c r="G250" s="7"/>
      <c r="H250" s="7"/>
      <c r="I250" s="7"/>
      <c r="J250" s="7"/>
      <c r="K250" s="7"/>
      <c r="L250" s="7"/>
      <c r="M250" s="7"/>
      <c r="N250" s="7"/>
      <c r="O250" s="7"/>
      <c r="P250" s="7"/>
      <c r="Q250" s="7"/>
      <c r="R250" s="7"/>
      <c r="S250" s="7"/>
      <c r="T250" s="7"/>
      <c r="U250" s="7"/>
      <c r="V250" s="7"/>
      <c r="W250" s="7"/>
      <c r="X250" s="7"/>
      <c r="Y250" s="7"/>
    </row>
    <row r="251" spans="1:25" x14ac:dyDescent="0.15">
      <c r="A251" s="4"/>
      <c r="B251" s="7"/>
      <c r="C251" s="7"/>
      <c r="D251" s="5"/>
      <c r="E251" s="7"/>
      <c r="F251" s="5"/>
      <c r="G251" s="7"/>
      <c r="H251" s="7"/>
      <c r="I251" s="7"/>
      <c r="J251" s="7"/>
      <c r="K251" s="7"/>
      <c r="L251" s="7"/>
      <c r="M251" s="7"/>
      <c r="N251" s="7"/>
      <c r="O251" s="7"/>
      <c r="P251" s="7"/>
      <c r="Q251" s="7"/>
      <c r="R251" s="7"/>
      <c r="S251" s="7"/>
      <c r="T251" s="7"/>
      <c r="U251" s="7"/>
      <c r="V251" s="7"/>
      <c r="W251" s="7"/>
      <c r="X251" s="7"/>
      <c r="Y251" s="7"/>
    </row>
    <row r="252" spans="1:25" x14ac:dyDescent="0.15">
      <c r="A252" s="4"/>
      <c r="B252" s="7"/>
      <c r="C252" s="7"/>
      <c r="D252" s="5"/>
      <c r="E252" s="7"/>
      <c r="F252" s="5"/>
      <c r="G252" s="7"/>
      <c r="H252" s="7"/>
      <c r="I252" s="7"/>
      <c r="J252" s="7"/>
      <c r="K252" s="7"/>
      <c r="L252" s="7"/>
      <c r="M252" s="7"/>
      <c r="N252" s="7"/>
      <c r="O252" s="7"/>
      <c r="P252" s="7"/>
      <c r="Q252" s="7"/>
      <c r="R252" s="7"/>
      <c r="S252" s="7"/>
      <c r="T252" s="7"/>
      <c r="U252" s="7"/>
      <c r="V252" s="7"/>
      <c r="W252" s="7"/>
      <c r="X252" s="7"/>
      <c r="Y252" s="7"/>
    </row>
    <row r="253" spans="1:25" x14ac:dyDescent="0.15">
      <c r="A253" s="4"/>
      <c r="B253" s="7"/>
      <c r="C253" s="7"/>
      <c r="D253" s="5"/>
      <c r="E253" s="7"/>
      <c r="F253" s="5"/>
      <c r="G253" s="7"/>
      <c r="H253" s="7"/>
      <c r="I253" s="7"/>
      <c r="J253" s="7"/>
      <c r="K253" s="7"/>
      <c r="L253" s="7"/>
      <c r="M253" s="7"/>
      <c r="N253" s="7"/>
      <c r="O253" s="7"/>
      <c r="P253" s="7"/>
      <c r="Q253" s="7"/>
      <c r="R253" s="7"/>
      <c r="S253" s="7"/>
      <c r="T253" s="7"/>
      <c r="U253" s="7"/>
      <c r="V253" s="7"/>
      <c r="W253" s="7"/>
      <c r="X253" s="7"/>
      <c r="Y253" s="7"/>
    </row>
    <row r="254" spans="1:25" x14ac:dyDescent="0.15">
      <c r="A254" s="4"/>
      <c r="B254" s="7"/>
      <c r="C254" s="7"/>
      <c r="D254" s="5"/>
      <c r="E254" s="7"/>
      <c r="F254" s="5"/>
      <c r="G254" s="7"/>
      <c r="H254" s="7"/>
      <c r="I254" s="7"/>
      <c r="J254" s="7"/>
      <c r="K254" s="7"/>
      <c r="L254" s="7"/>
      <c r="M254" s="7"/>
      <c r="N254" s="7"/>
      <c r="O254" s="7"/>
      <c r="P254" s="7"/>
      <c r="Q254" s="7"/>
      <c r="R254" s="7"/>
      <c r="S254" s="7"/>
      <c r="T254" s="7"/>
      <c r="U254" s="7"/>
      <c r="V254" s="7"/>
      <c r="W254" s="7"/>
      <c r="X254" s="7"/>
      <c r="Y254" s="7"/>
    </row>
    <row r="255" spans="1:25" x14ac:dyDescent="0.15">
      <c r="A255" s="4"/>
      <c r="B255" s="7"/>
      <c r="C255" s="7"/>
      <c r="D255" s="5"/>
      <c r="E255" s="7"/>
      <c r="F255" s="5"/>
      <c r="G255" s="7"/>
      <c r="H255" s="7"/>
      <c r="I255" s="7"/>
      <c r="J255" s="7"/>
      <c r="K255" s="7"/>
      <c r="L255" s="7"/>
      <c r="M255" s="7"/>
      <c r="N255" s="7"/>
      <c r="O255" s="7"/>
      <c r="P255" s="7"/>
      <c r="Q255" s="7"/>
      <c r="R255" s="7"/>
      <c r="S255" s="7"/>
      <c r="T255" s="7"/>
      <c r="U255" s="7"/>
      <c r="V255" s="7"/>
      <c r="W255" s="7"/>
      <c r="X255" s="7"/>
      <c r="Y255" s="7"/>
    </row>
    <row r="256" spans="1:25" x14ac:dyDescent="0.15">
      <c r="A256" s="4"/>
      <c r="B256" s="7"/>
      <c r="C256" s="7"/>
      <c r="D256" s="5"/>
      <c r="E256" s="7"/>
      <c r="F256" s="5"/>
      <c r="G256" s="7"/>
      <c r="H256" s="7"/>
      <c r="I256" s="7"/>
      <c r="J256" s="7"/>
      <c r="K256" s="7"/>
      <c r="L256" s="7"/>
      <c r="M256" s="7"/>
      <c r="N256" s="7"/>
      <c r="O256" s="7"/>
      <c r="P256" s="7"/>
      <c r="Q256" s="7"/>
      <c r="R256" s="7"/>
      <c r="S256" s="7"/>
      <c r="T256" s="7"/>
      <c r="U256" s="7"/>
      <c r="V256" s="7"/>
      <c r="W256" s="7"/>
      <c r="X256" s="7"/>
      <c r="Y256" s="7"/>
    </row>
    <row r="257" spans="1:25" x14ac:dyDescent="0.15">
      <c r="A257" s="4"/>
      <c r="B257" s="7"/>
      <c r="C257" s="7"/>
      <c r="D257" s="5"/>
      <c r="E257" s="7"/>
      <c r="F257" s="5"/>
      <c r="G257" s="7"/>
      <c r="H257" s="7"/>
      <c r="I257" s="7"/>
      <c r="J257" s="7"/>
      <c r="K257" s="7"/>
      <c r="L257" s="7"/>
      <c r="M257" s="7"/>
      <c r="N257" s="7"/>
      <c r="O257" s="7"/>
      <c r="P257" s="7"/>
      <c r="Q257" s="7"/>
      <c r="R257" s="7"/>
      <c r="S257" s="7"/>
      <c r="T257" s="7"/>
      <c r="U257" s="7"/>
      <c r="V257" s="7"/>
      <c r="W257" s="7"/>
      <c r="X257" s="7"/>
      <c r="Y257" s="7"/>
    </row>
    <row r="258" spans="1:25" x14ac:dyDescent="0.15">
      <c r="A258" s="4"/>
      <c r="B258" s="7"/>
      <c r="C258" s="7"/>
      <c r="D258" s="5"/>
      <c r="E258" s="7"/>
      <c r="F258" s="5"/>
      <c r="G258" s="7"/>
      <c r="H258" s="7"/>
      <c r="I258" s="7"/>
      <c r="J258" s="7"/>
      <c r="K258" s="7"/>
      <c r="L258" s="7"/>
      <c r="M258" s="7"/>
      <c r="N258" s="7"/>
      <c r="O258" s="7"/>
      <c r="P258" s="7"/>
      <c r="Q258" s="7"/>
      <c r="R258" s="7"/>
      <c r="S258" s="7"/>
      <c r="T258" s="7"/>
      <c r="U258" s="7"/>
      <c r="V258" s="7"/>
      <c r="W258" s="7"/>
      <c r="X258" s="7"/>
      <c r="Y258" s="7"/>
    </row>
    <row r="259" spans="1:25" x14ac:dyDescent="0.15">
      <c r="A259" s="4"/>
      <c r="B259" s="7"/>
      <c r="C259" s="7"/>
      <c r="D259" s="5"/>
      <c r="E259" s="7"/>
      <c r="F259" s="5"/>
      <c r="G259" s="7"/>
      <c r="H259" s="7"/>
      <c r="I259" s="7"/>
      <c r="J259" s="7"/>
      <c r="K259" s="7"/>
      <c r="L259" s="7"/>
      <c r="M259" s="7"/>
      <c r="N259" s="7"/>
      <c r="O259" s="7"/>
      <c r="P259" s="7"/>
      <c r="Q259" s="7"/>
      <c r="R259" s="7"/>
      <c r="S259" s="7"/>
      <c r="T259" s="7"/>
      <c r="U259" s="7"/>
      <c r="V259" s="7"/>
      <c r="W259" s="7"/>
      <c r="X259" s="7"/>
      <c r="Y259" s="7"/>
    </row>
    <row r="260" spans="1:25" x14ac:dyDescent="0.15">
      <c r="A260" s="4"/>
      <c r="B260" s="7"/>
      <c r="C260" s="7"/>
      <c r="D260" s="5"/>
      <c r="E260" s="7"/>
      <c r="F260" s="5"/>
      <c r="G260" s="7"/>
      <c r="H260" s="7"/>
      <c r="I260" s="7"/>
      <c r="J260" s="7"/>
      <c r="K260" s="7"/>
      <c r="L260" s="7"/>
      <c r="M260" s="7"/>
      <c r="N260" s="7"/>
      <c r="O260" s="7"/>
      <c r="P260" s="7"/>
      <c r="Q260" s="7"/>
      <c r="R260" s="7"/>
      <c r="S260" s="7"/>
      <c r="T260" s="7"/>
      <c r="U260" s="7"/>
      <c r="V260" s="7"/>
      <c r="W260" s="7"/>
      <c r="X260" s="7"/>
      <c r="Y260" s="7"/>
    </row>
    <row r="261" spans="1:25" x14ac:dyDescent="0.15">
      <c r="A261" s="4"/>
      <c r="B261" s="7"/>
      <c r="C261" s="7"/>
      <c r="D261" s="5"/>
      <c r="E261" s="7"/>
      <c r="F261" s="5"/>
      <c r="G261" s="7"/>
      <c r="H261" s="7"/>
      <c r="I261" s="7"/>
      <c r="J261" s="7"/>
      <c r="K261" s="7"/>
      <c r="L261" s="7"/>
      <c r="M261" s="7"/>
      <c r="N261" s="7"/>
      <c r="O261" s="7"/>
      <c r="P261" s="7"/>
      <c r="Q261" s="7"/>
      <c r="R261" s="7"/>
      <c r="S261" s="7"/>
      <c r="T261" s="7"/>
      <c r="U261" s="7"/>
      <c r="V261" s="7"/>
      <c r="W261" s="7"/>
      <c r="X261" s="7"/>
      <c r="Y261" s="7"/>
    </row>
    <row r="262" spans="1:25" x14ac:dyDescent="0.15">
      <c r="A262" s="4"/>
      <c r="B262" s="7"/>
      <c r="C262" s="7"/>
      <c r="D262" s="5"/>
      <c r="E262" s="7"/>
      <c r="F262" s="5"/>
      <c r="G262" s="7"/>
      <c r="H262" s="7"/>
      <c r="I262" s="7"/>
      <c r="J262" s="7"/>
      <c r="K262" s="7"/>
      <c r="L262" s="7"/>
      <c r="M262" s="7"/>
      <c r="N262" s="7"/>
      <c r="O262" s="7"/>
      <c r="P262" s="7"/>
      <c r="Q262" s="7"/>
      <c r="R262" s="7"/>
      <c r="S262" s="7"/>
      <c r="T262" s="7"/>
      <c r="U262" s="7"/>
      <c r="V262" s="7"/>
      <c r="W262" s="7"/>
      <c r="X262" s="7"/>
      <c r="Y262" s="7"/>
    </row>
    <row r="263" spans="1:25" x14ac:dyDescent="0.15">
      <c r="A263" s="4"/>
      <c r="B263" s="7"/>
      <c r="C263" s="7"/>
      <c r="D263" s="5"/>
      <c r="E263" s="7"/>
      <c r="F263" s="5"/>
      <c r="G263" s="7"/>
      <c r="H263" s="7"/>
      <c r="I263" s="7"/>
      <c r="J263" s="7"/>
      <c r="K263" s="7"/>
      <c r="L263" s="7"/>
      <c r="M263" s="7"/>
      <c r="N263" s="7"/>
      <c r="O263" s="7"/>
      <c r="P263" s="7"/>
      <c r="Q263" s="7"/>
      <c r="R263" s="7"/>
      <c r="S263" s="7"/>
      <c r="T263" s="7"/>
      <c r="U263" s="7"/>
      <c r="V263" s="7"/>
      <c r="W263" s="7"/>
      <c r="X263" s="7"/>
      <c r="Y263" s="7"/>
    </row>
    <row r="264" spans="1:25" x14ac:dyDescent="0.15">
      <c r="A264" s="4"/>
      <c r="B264" s="7"/>
      <c r="C264" s="7"/>
      <c r="D264" s="5"/>
      <c r="E264" s="7"/>
      <c r="F264" s="5"/>
      <c r="G264" s="7"/>
      <c r="H264" s="7"/>
      <c r="I264" s="7"/>
      <c r="J264" s="7"/>
      <c r="K264" s="7"/>
      <c r="L264" s="7"/>
      <c r="M264" s="7"/>
      <c r="N264" s="7"/>
      <c r="O264" s="7"/>
      <c r="P264" s="7"/>
      <c r="Q264" s="7"/>
      <c r="R264" s="7"/>
      <c r="S264" s="7"/>
      <c r="T264" s="7"/>
      <c r="U264" s="7"/>
      <c r="V264" s="7"/>
      <c r="W264" s="7"/>
      <c r="X264" s="7"/>
      <c r="Y264" s="7"/>
    </row>
    <row r="265" spans="1:25" x14ac:dyDescent="0.15">
      <c r="A265" s="4"/>
      <c r="B265" s="7"/>
      <c r="C265" s="7"/>
      <c r="D265" s="5"/>
      <c r="E265" s="7"/>
      <c r="F265" s="5"/>
      <c r="G265" s="7"/>
      <c r="H265" s="7"/>
      <c r="I265" s="7"/>
      <c r="J265" s="7"/>
      <c r="K265" s="7"/>
      <c r="L265" s="7"/>
      <c r="M265" s="7"/>
      <c r="N265" s="7"/>
      <c r="O265" s="7"/>
      <c r="P265" s="7"/>
      <c r="Q265" s="7"/>
      <c r="R265" s="7"/>
      <c r="S265" s="7"/>
      <c r="T265" s="7"/>
      <c r="U265" s="7"/>
      <c r="V265" s="7"/>
      <c r="W265" s="7"/>
      <c r="X265" s="7"/>
      <c r="Y265" s="7"/>
    </row>
    <row r="266" spans="1:25" x14ac:dyDescent="0.15">
      <c r="A266" s="4"/>
      <c r="B266" s="7"/>
      <c r="C266" s="7"/>
      <c r="D266" s="5"/>
      <c r="E266" s="7"/>
      <c r="F266" s="5"/>
      <c r="G266" s="7"/>
      <c r="H266" s="7"/>
      <c r="I266" s="7"/>
      <c r="J266" s="7"/>
      <c r="K266" s="7"/>
      <c r="L266" s="7"/>
      <c r="M266" s="7"/>
      <c r="N266" s="7"/>
      <c r="O266" s="7"/>
      <c r="P266" s="7"/>
      <c r="Q266" s="7"/>
      <c r="R266" s="7"/>
      <c r="S266" s="7"/>
      <c r="T266" s="7"/>
      <c r="U266" s="7"/>
      <c r="V266" s="7"/>
      <c r="W266" s="7"/>
      <c r="X266" s="7"/>
      <c r="Y266" s="7"/>
    </row>
    <row r="267" spans="1:25" x14ac:dyDescent="0.15">
      <c r="A267" s="4"/>
      <c r="B267" s="7"/>
      <c r="C267" s="7"/>
      <c r="D267" s="5"/>
      <c r="E267" s="7"/>
      <c r="F267" s="5"/>
      <c r="G267" s="7"/>
      <c r="H267" s="7"/>
      <c r="I267" s="7"/>
      <c r="J267" s="7"/>
      <c r="K267" s="7"/>
      <c r="L267" s="7"/>
      <c r="M267" s="7"/>
      <c r="N267" s="7"/>
      <c r="O267" s="7"/>
      <c r="P267" s="7"/>
      <c r="Q267" s="7"/>
      <c r="R267" s="7"/>
      <c r="S267" s="7"/>
      <c r="T267" s="7"/>
      <c r="U267" s="7"/>
      <c r="V267" s="7"/>
      <c r="W267" s="7"/>
      <c r="X267" s="7"/>
      <c r="Y267" s="7"/>
    </row>
    <row r="268" spans="1:25" x14ac:dyDescent="0.15">
      <c r="A268" s="4"/>
      <c r="B268" s="7"/>
      <c r="C268" s="7"/>
      <c r="D268" s="5"/>
      <c r="E268" s="7"/>
      <c r="F268" s="5"/>
      <c r="G268" s="7"/>
      <c r="H268" s="7"/>
      <c r="I268" s="7"/>
      <c r="J268" s="7"/>
      <c r="K268" s="7"/>
      <c r="L268" s="7"/>
      <c r="M268" s="7"/>
      <c r="N268" s="7"/>
      <c r="O268" s="7"/>
      <c r="P268" s="7"/>
      <c r="Q268" s="7"/>
      <c r="R268" s="7"/>
      <c r="S268" s="7"/>
      <c r="T268" s="7"/>
      <c r="U268" s="7"/>
      <c r="V268" s="7"/>
      <c r="W268" s="7"/>
      <c r="X268" s="7"/>
      <c r="Y268" s="7"/>
    </row>
    <row r="269" spans="1:25" x14ac:dyDescent="0.15">
      <c r="A269" s="4"/>
      <c r="B269" s="7"/>
      <c r="C269" s="7"/>
      <c r="D269" s="5"/>
      <c r="E269" s="7"/>
      <c r="F269" s="5"/>
      <c r="G269" s="7"/>
      <c r="H269" s="7"/>
      <c r="I269" s="7"/>
      <c r="J269" s="7"/>
      <c r="K269" s="7"/>
      <c r="L269" s="7"/>
      <c r="M269" s="7"/>
      <c r="N269" s="7"/>
      <c r="O269" s="7"/>
      <c r="P269" s="7"/>
      <c r="Q269" s="7"/>
      <c r="R269" s="7"/>
      <c r="S269" s="7"/>
      <c r="T269" s="7"/>
      <c r="U269" s="7"/>
      <c r="V269" s="7"/>
      <c r="W269" s="7"/>
      <c r="X269" s="7"/>
      <c r="Y269" s="7"/>
    </row>
    <row r="270" spans="1:25" x14ac:dyDescent="0.15">
      <c r="A270" s="4"/>
      <c r="B270" s="7"/>
      <c r="C270" s="7"/>
      <c r="D270" s="5"/>
      <c r="E270" s="7"/>
      <c r="F270" s="5"/>
      <c r="G270" s="7"/>
      <c r="H270" s="7"/>
      <c r="I270" s="7"/>
      <c r="J270" s="7"/>
      <c r="K270" s="7"/>
      <c r="L270" s="7"/>
      <c r="M270" s="7"/>
      <c r="N270" s="7"/>
      <c r="O270" s="7"/>
      <c r="P270" s="7"/>
      <c r="Q270" s="7"/>
      <c r="R270" s="7"/>
      <c r="S270" s="7"/>
      <c r="T270" s="7"/>
      <c r="U270" s="7"/>
      <c r="V270" s="7"/>
      <c r="W270" s="7"/>
      <c r="X270" s="7"/>
      <c r="Y270" s="7"/>
    </row>
    <row r="271" spans="1:25" x14ac:dyDescent="0.15">
      <c r="A271" s="4"/>
      <c r="B271" s="7"/>
      <c r="C271" s="7"/>
      <c r="D271" s="5"/>
      <c r="E271" s="7"/>
      <c r="F271" s="5"/>
      <c r="G271" s="7"/>
      <c r="H271" s="7"/>
      <c r="I271" s="7"/>
      <c r="J271" s="7"/>
      <c r="K271" s="7"/>
      <c r="L271" s="7"/>
      <c r="M271" s="7"/>
      <c r="N271" s="7"/>
      <c r="O271" s="7"/>
      <c r="P271" s="7"/>
      <c r="Q271" s="7"/>
      <c r="R271" s="7"/>
      <c r="S271" s="7"/>
      <c r="T271" s="7"/>
      <c r="U271" s="7"/>
      <c r="V271" s="7"/>
      <c r="W271" s="7"/>
      <c r="X271" s="7"/>
      <c r="Y271" s="7"/>
    </row>
    <row r="272" spans="1:25" x14ac:dyDescent="0.15">
      <c r="A272" s="4"/>
      <c r="B272" s="7"/>
      <c r="C272" s="7"/>
      <c r="D272" s="5"/>
      <c r="E272" s="7"/>
      <c r="F272" s="5"/>
      <c r="G272" s="7"/>
      <c r="H272" s="7"/>
      <c r="I272" s="7"/>
      <c r="J272" s="7"/>
      <c r="K272" s="7"/>
      <c r="L272" s="7"/>
      <c r="M272" s="7"/>
      <c r="N272" s="7"/>
      <c r="O272" s="7"/>
      <c r="P272" s="7"/>
      <c r="Q272" s="7"/>
      <c r="R272" s="7"/>
      <c r="S272" s="7"/>
      <c r="T272" s="7"/>
      <c r="U272" s="7"/>
      <c r="V272" s="7"/>
      <c r="W272" s="7"/>
      <c r="X272" s="7"/>
      <c r="Y272" s="7"/>
    </row>
    <row r="273" spans="1:25" x14ac:dyDescent="0.15">
      <c r="A273" s="4"/>
      <c r="B273" s="7"/>
      <c r="C273" s="7"/>
      <c r="D273" s="5"/>
      <c r="E273" s="7"/>
      <c r="F273" s="5"/>
      <c r="G273" s="7"/>
      <c r="H273" s="7"/>
      <c r="I273" s="7"/>
      <c r="J273" s="7"/>
      <c r="K273" s="7"/>
      <c r="L273" s="7"/>
      <c r="M273" s="7"/>
      <c r="N273" s="7"/>
      <c r="O273" s="7"/>
      <c r="P273" s="7"/>
      <c r="Q273" s="7"/>
      <c r="R273" s="7"/>
      <c r="S273" s="7"/>
      <c r="T273" s="7"/>
      <c r="U273" s="7"/>
      <c r="V273" s="7"/>
      <c r="W273" s="7"/>
      <c r="X273" s="7"/>
      <c r="Y273" s="7"/>
    </row>
    <row r="274" spans="1:25" x14ac:dyDescent="0.15">
      <c r="A274" s="4"/>
      <c r="B274" s="7"/>
      <c r="C274" s="7"/>
      <c r="D274" s="5"/>
      <c r="E274" s="7"/>
      <c r="F274" s="5"/>
      <c r="G274" s="7"/>
      <c r="H274" s="7"/>
      <c r="I274" s="7"/>
      <c r="J274" s="7"/>
      <c r="K274" s="7"/>
      <c r="L274" s="7"/>
      <c r="M274" s="7"/>
      <c r="N274" s="7"/>
      <c r="O274" s="7"/>
      <c r="P274" s="7"/>
      <c r="Q274" s="7"/>
      <c r="R274" s="7"/>
      <c r="S274" s="7"/>
      <c r="T274" s="7"/>
      <c r="U274" s="7"/>
      <c r="V274" s="7"/>
      <c r="W274" s="7"/>
      <c r="X274" s="7"/>
      <c r="Y274" s="7"/>
    </row>
    <row r="275" spans="1:25" x14ac:dyDescent="0.15">
      <c r="A275" s="4"/>
      <c r="B275" s="7"/>
      <c r="C275" s="7"/>
      <c r="D275" s="5"/>
      <c r="E275" s="7"/>
      <c r="F275" s="5"/>
      <c r="G275" s="7"/>
      <c r="H275" s="7"/>
      <c r="I275" s="7"/>
      <c r="J275" s="7"/>
      <c r="K275" s="7"/>
      <c r="L275" s="7"/>
      <c r="M275" s="7"/>
      <c r="N275" s="7"/>
      <c r="O275" s="7"/>
      <c r="P275" s="7"/>
      <c r="Q275" s="7"/>
      <c r="R275" s="7"/>
      <c r="S275" s="7"/>
      <c r="T275" s="7"/>
      <c r="U275" s="7"/>
      <c r="V275" s="7"/>
      <c r="W275" s="7"/>
      <c r="X275" s="7"/>
      <c r="Y275" s="7"/>
    </row>
    <row r="276" spans="1:25" x14ac:dyDescent="0.15">
      <c r="A276" s="4"/>
      <c r="B276" s="7"/>
      <c r="C276" s="7"/>
      <c r="D276" s="5"/>
      <c r="E276" s="7"/>
      <c r="F276" s="5"/>
      <c r="G276" s="7"/>
      <c r="H276" s="7"/>
      <c r="I276" s="7"/>
      <c r="J276" s="7"/>
      <c r="K276" s="7"/>
      <c r="L276" s="7"/>
      <c r="M276" s="7"/>
      <c r="N276" s="7"/>
      <c r="O276" s="7"/>
      <c r="P276" s="7"/>
      <c r="Q276" s="7"/>
      <c r="R276" s="7"/>
      <c r="S276" s="7"/>
      <c r="T276" s="7"/>
      <c r="U276" s="7"/>
      <c r="V276" s="7"/>
      <c r="W276" s="7"/>
      <c r="X276" s="7"/>
      <c r="Y276" s="7"/>
    </row>
    <row r="277" spans="1:25" x14ac:dyDescent="0.15">
      <c r="A277" s="4"/>
      <c r="B277" s="7"/>
      <c r="C277" s="7"/>
      <c r="D277" s="5"/>
      <c r="E277" s="7"/>
      <c r="F277" s="5"/>
      <c r="G277" s="7"/>
      <c r="H277" s="7"/>
      <c r="I277" s="7"/>
      <c r="J277" s="7"/>
      <c r="K277" s="7"/>
      <c r="L277" s="7"/>
      <c r="M277" s="7"/>
      <c r="N277" s="7"/>
      <c r="O277" s="7"/>
      <c r="P277" s="7"/>
      <c r="Q277" s="7"/>
      <c r="R277" s="7"/>
      <c r="S277" s="7"/>
      <c r="T277" s="7"/>
      <c r="U277" s="7"/>
      <c r="V277" s="7"/>
      <c r="W277" s="7"/>
      <c r="X277" s="7"/>
      <c r="Y277" s="7"/>
    </row>
    <row r="278" spans="1:25" x14ac:dyDescent="0.15">
      <c r="A278" s="4"/>
      <c r="B278" s="7"/>
      <c r="C278" s="7"/>
      <c r="D278" s="5"/>
      <c r="E278" s="7"/>
      <c r="F278" s="5"/>
      <c r="G278" s="7"/>
      <c r="H278" s="7"/>
      <c r="I278" s="7"/>
      <c r="J278" s="7"/>
      <c r="K278" s="7"/>
      <c r="L278" s="7"/>
      <c r="M278" s="7"/>
      <c r="N278" s="7"/>
      <c r="O278" s="7"/>
      <c r="P278" s="7"/>
      <c r="Q278" s="7"/>
      <c r="R278" s="7"/>
      <c r="S278" s="7"/>
      <c r="T278" s="7"/>
      <c r="U278" s="7"/>
      <c r="V278" s="7"/>
      <c r="W278" s="7"/>
      <c r="X278" s="7"/>
      <c r="Y278" s="7"/>
    </row>
    <row r="279" spans="1:25" x14ac:dyDescent="0.15">
      <c r="A279" s="4"/>
      <c r="B279" s="7"/>
      <c r="C279" s="7"/>
      <c r="D279" s="5"/>
      <c r="E279" s="7"/>
      <c r="F279" s="5"/>
      <c r="G279" s="7"/>
      <c r="H279" s="7"/>
      <c r="I279" s="7"/>
      <c r="J279" s="7"/>
      <c r="K279" s="7"/>
      <c r="L279" s="7"/>
      <c r="M279" s="7"/>
      <c r="N279" s="7"/>
      <c r="O279" s="7"/>
      <c r="P279" s="7"/>
      <c r="Q279" s="7"/>
      <c r="R279" s="7"/>
      <c r="S279" s="7"/>
      <c r="T279" s="7"/>
      <c r="U279" s="7"/>
      <c r="V279" s="7"/>
      <c r="W279" s="7"/>
      <c r="X279" s="7"/>
      <c r="Y279" s="7"/>
    </row>
    <row r="280" spans="1:25" x14ac:dyDescent="0.15">
      <c r="A280" s="4"/>
      <c r="B280" s="7"/>
      <c r="C280" s="7"/>
      <c r="D280" s="5"/>
      <c r="E280" s="7"/>
      <c r="F280" s="5"/>
      <c r="G280" s="7"/>
      <c r="H280" s="7"/>
      <c r="I280" s="7"/>
      <c r="J280" s="7"/>
      <c r="K280" s="7"/>
      <c r="L280" s="7"/>
      <c r="M280" s="7"/>
      <c r="N280" s="7"/>
      <c r="O280" s="7"/>
      <c r="P280" s="7"/>
      <c r="Q280" s="7"/>
      <c r="R280" s="7"/>
      <c r="S280" s="7"/>
      <c r="T280" s="7"/>
      <c r="U280" s="7"/>
      <c r="V280" s="7"/>
      <c r="W280" s="7"/>
      <c r="X280" s="7"/>
      <c r="Y280" s="7"/>
    </row>
    <row r="281" spans="1:25" x14ac:dyDescent="0.15">
      <c r="A281" s="4"/>
      <c r="B281" s="7"/>
      <c r="C281" s="7"/>
      <c r="D281" s="5"/>
      <c r="E281" s="7"/>
      <c r="F281" s="5"/>
      <c r="G281" s="7"/>
      <c r="H281" s="7"/>
      <c r="I281" s="7"/>
      <c r="J281" s="7"/>
      <c r="K281" s="7"/>
      <c r="L281" s="7"/>
      <c r="M281" s="7"/>
      <c r="N281" s="7"/>
      <c r="O281" s="7"/>
      <c r="P281" s="7"/>
      <c r="Q281" s="7"/>
      <c r="R281" s="7"/>
      <c r="S281" s="7"/>
      <c r="T281" s="7"/>
      <c r="U281" s="7"/>
      <c r="V281" s="7"/>
      <c r="W281" s="7"/>
      <c r="X281" s="7"/>
      <c r="Y281" s="7"/>
    </row>
    <row r="282" spans="1:25" x14ac:dyDescent="0.15">
      <c r="A282" s="4"/>
      <c r="B282" s="7"/>
      <c r="C282" s="7"/>
      <c r="D282" s="5"/>
      <c r="E282" s="7"/>
      <c r="F282" s="5"/>
      <c r="G282" s="7"/>
      <c r="H282" s="7"/>
      <c r="I282" s="7"/>
      <c r="J282" s="7"/>
      <c r="K282" s="7"/>
      <c r="L282" s="7"/>
      <c r="M282" s="7"/>
      <c r="N282" s="7"/>
      <c r="O282" s="7"/>
      <c r="P282" s="7"/>
      <c r="Q282" s="7"/>
      <c r="R282" s="7"/>
      <c r="S282" s="7"/>
      <c r="T282" s="7"/>
      <c r="U282" s="7"/>
      <c r="V282" s="7"/>
      <c r="W282" s="7"/>
      <c r="X282" s="7"/>
      <c r="Y282" s="7"/>
    </row>
    <row r="283" spans="1:25" x14ac:dyDescent="0.15">
      <c r="A283" s="4"/>
      <c r="B283" s="7"/>
      <c r="C283" s="7"/>
      <c r="D283" s="5"/>
      <c r="E283" s="7"/>
      <c r="F283" s="5"/>
      <c r="G283" s="7"/>
      <c r="H283" s="7"/>
      <c r="I283" s="7"/>
      <c r="J283" s="7"/>
      <c r="K283" s="7"/>
      <c r="L283" s="7"/>
      <c r="M283" s="7"/>
      <c r="N283" s="7"/>
      <c r="O283" s="7"/>
      <c r="P283" s="7"/>
      <c r="Q283" s="7"/>
      <c r="R283" s="7"/>
      <c r="S283" s="7"/>
      <c r="T283" s="7"/>
      <c r="U283" s="7"/>
      <c r="V283" s="7"/>
      <c r="W283" s="7"/>
      <c r="X283" s="7"/>
      <c r="Y283" s="7"/>
    </row>
    <row r="284" spans="1:25" x14ac:dyDescent="0.15">
      <c r="A284" s="4"/>
      <c r="B284" s="7"/>
      <c r="C284" s="7"/>
      <c r="D284" s="5"/>
      <c r="E284" s="7"/>
      <c r="F284" s="5"/>
      <c r="G284" s="7"/>
      <c r="H284" s="7"/>
      <c r="I284" s="7"/>
      <c r="J284" s="7"/>
      <c r="K284" s="7"/>
      <c r="L284" s="7"/>
      <c r="M284" s="7"/>
      <c r="N284" s="7"/>
      <c r="O284" s="7"/>
      <c r="P284" s="7"/>
      <c r="Q284" s="7"/>
      <c r="R284" s="7"/>
      <c r="S284" s="7"/>
      <c r="T284" s="7"/>
      <c r="U284" s="7"/>
      <c r="V284" s="7"/>
      <c r="W284" s="7"/>
      <c r="X284" s="7"/>
      <c r="Y284" s="7"/>
    </row>
    <row r="285" spans="1:25" x14ac:dyDescent="0.15">
      <c r="A285" s="4"/>
      <c r="B285" s="7"/>
      <c r="C285" s="7"/>
      <c r="D285" s="5"/>
      <c r="E285" s="7"/>
      <c r="F285" s="5"/>
      <c r="G285" s="7"/>
      <c r="H285" s="7"/>
      <c r="I285" s="7"/>
      <c r="J285" s="7"/>
      <c r="K285" s="7"/>
      <c r="L285" s="7"/>
      <c r="M285" s="7"/>
      <c r="N285" s="7"/>
      <c r="O285" s="7"/>
      <c r="P285" s="7"/>
      <c r="Q285" s="7"/>
      <c r="R285" s="7"/>
      <c r="S285" s="7"/>
      <c r="T285" s="7"/>
      <c r="U285" s="7"/>
      <c r="V285" s="7"/>
      <c r="W285" s="7"/>
      <c r="X285" s="7"/>
      <c r="Y285" s="7"/>
    </row>
    <row r="286" spans="1:25" x14ac:dyDescent="0.15">
      <c r="A286" s="4"/>
      <c r="B286" s="7"/>
      <c r="C286" s="7"/>
      <c r="D286" s="5"/>
      <c r="E286" s="7"/>
      <c r="F286" s="5"/>
      <c r="G286" s="7"/>
      <c r="H286" s="7"/>
      <c r="I286" s="7"/>
      <c r="J286" s="7"/>
      <c r="K286" s="7"/>
      <c r="L286" s="7"/>
      <c r="M286" s="7"/>
      <c r="N286" s="7"/>
      <c r="O286" s="7"/>
      <c r="P286" s="7"/>
      <c r="Q286" s="7"/>
      <c r="R286" s="7"/>
      <c r="S286" s="7"/>
      <c r="T286" s="7"/>
      <c r="U286" s="7"/>
      <c r="V286" s="7"/>
      <c r="W286" s="7"/>
      <c r="X286" s="7"/>
      <c r="Y286" s="7"/>
    </row>
    <row r="287" spans="1:25" x14ac:dyDescent="0.15">
      <c r="A287" s="4"/>
      <c r="B287" s="7"/>
      <c r="C287" s="7"/>
      <c r="D287" s="5"/>
      <c r="E287" s="7"/>
      <c r="F287" s="5"/>
      <c r="G287" s="7"/>
      <c r="H287" s="7"/>
      <c r="I287" s="7"/>
      <c r="J287" s="7"/>
      <c r="K287" s="7"/>
      <c r="L287" s="7"/>
      <c r="M287" s="7"/>
      <c r="N287" s="7"/>
      <c r="O287" s="7"/>
      <c r="P287" s="7"/>
      <c r="Q287" s="7"/>
      <c r="R287" s="7"/>
      <c r="S287" s="7"/>
      <c r="T287" s="7"/>
      <c r="U287" s="7"/>
      <c r="V287" s="7"/>
      <c r="W287" s="7"/>
      <c r="X287" s="7"/>
      <c r="Y287" s="7"/>
    </row>
    <row r="288" spans="1:25" x14ac:dyDescent="0.15">
      <c r="A288" s="4"/>
      <c r="B288" s="7"/>
      <c r="C288" s="7"/>
      <c r="D288" s="5"/>
      <c r="E288" s="7"/>
      <c r="F288" s="5"/>
      <c r="G288" s="7"/>
      <c r="H288" s="7"/>
      <c r="I288" s="7"/>
      <c r="J288" s="7"/>
      <c r="K288" s="7"/>
      <c r="L288" s="7"/>
      <c r="M288" s="7"/>
      <c r="N288" s="7"/>
      <c r="O288" s="7"/>
      <c r="P288" s="7"/>
      <c r="Q288" s="7"/>
      <c r="R288" s="7"/>
      <c r="S288" s="7"/>
      <c r="T288" s="7"/>
      <c r="U288" s="7"/>
      <c r="V288" s="7"/>
      <c r="W288" s="7"/>
      <c r="X288" s="7"/>
      <c r="Y288" s="7"/>
    </row>
    <row r="289" spans="1:25" x14ac:dyDescent="0.15">
      <c r="A289" s="4"/>
      <c r="B289" s="7"/>
      <c r="C289" s="7"/>
      <c r="D289" s="5"/>
      <c r="E289" s="7"/>
      <c r="F289" s="5"/>
      <c r="G289" s="7"/>
      <c r="H289" s="7"/>
      <c r="I289" s="7"/>
      <c r="J289" s="7"/>
      <c r="K289" s="7"/>
      <c r="L289" s="7"/>
      <c r="M289" s="7"/>
      <c r="N289" s="7"/>
      <c r="O289" s="7"/>
      <c r="P289" s="7"/>
      <c r="Q289" s="7"/>
      <c r="R289" s="7"/>
      <c r="S289" s="7"/>
      <c r="T289" s="7"/>
      <c r="U289" s="7"/>
      <c r="V289" s="7"/>
      <c r="W289" s="7"/>
      <c r="X289" s="7"/>
      <c r="Y289" s="7"/>
    </row>
    <row r="290" spans="1:25" x14ac:dyDescent="0.15">
      <c r="A290" s="4"/>
      <c r="B290" s="7"/>
      <c r="C290" s="7"/>
      <c r="D290" s="5"/>
      <c r="E290" s="7"/>
      <c r="F290" s="5"/>
      <c r="G290" s="7"/>
      <c r="H290" s="7"/>
      <c r="I290" s="7"/>
      <c r="J290" s="7"/>
      <c r="K290" s="7"/>
      <c r="L290" s="7"/>
      <c r="M290" s="7"/>
      <c r="N290" s="7"/>
      <c r="O290" s="7"/>
      <c r="P290" s="7"/>
      <c r="Q290" s="7"/>
      <c r="R290" s="7"/>
      <c r="S290" s="7"/>
      <c r="T290" s="7"/>
      <c r="U290" s="7"/>
      <c r="V290" s="7"/>
      <c r="W290" s="7"/>
      <c r="X290" s="7"/>
      <c r="Y290" s="7"/>
    </row>
    <row r="291" spans="1:25" x14ac:dyDescent="0.15">
      <c r="A291" s="4"/>
      <c r="B291" s="7"/>
      <c r="C291" s="7"/>
      <c r="D291" s="5"/>
      <c r="E291" s="7"/>
      <c r="F291" s="5"/>
      <c r="G291" s="7"/>
      <c r="H291" s="7"/>
      <c r="I291" s="7"/>
      <c r="J291" s="7"/>
      <c r="K291" s="7"/>
      <c r="L291" s="7"/>
      <c r="M291" s="7"/>
      <c r="N291" s="7"/>
      <c r="O291" s="7"/>
      <c r="P291" s="7"/>
      <c r="Q291" s="7"/>
      <c r="R291" s="7"/>
      <c r="S291" s="7"/>
      <c r="T291" s="7"/>
      <c r="U291" s="7"/>
      <c r="V291" s="7"/>
      <c r="W291" s="7"/>
      <c r="X291" s="7"/>
      <c r="Y291" s="7"/>
    </row>
    <row r="292" spans="1:25" x14ac:dyDescent="0.15">
      <c r="A292" s="4"/>
      <c r="B292" s="7"/>
      <c r="C292" s="7"/>
      <c r="D292" s="5"/>
      <c r="E292" s="7"/>
      <c r="F292" s="5"/>
      <c r="G292" s="7"/>
      <c r="H292" s="7"/>
      <c r="I292" s="7"/>
      <c r="J292" s="7"/>
      <c r="K292" s="7"/>
      <c r="L292" s="7"/>
      <c r="M292" s="7"/>
      <c r="N292" s="7"/>
      <c r="O292" s="7"/>
      <c r="P292" s="7"/>
      <c r="Q292" s="7"/>
      <c r="R292" s="7"/>
      <c r="S292" s="7"/>
      <c r="T292" s="7"/>
      <c r="U292" s="7"/>
      <c r="V292" s="7"/>
      <c r="W292" s="7"/>
      <c r="X292" s="7"/>
      <c r="Y292" s="7"/>
    </row>
    <row r="293" spans="1:25" x14ac:dyDescent="0.15">
      <c r="A293" s="4"/>
      <c r="B293" s="7"/>
      <c r="C293" s="7"/>
      <c r="D293" s="5"/>
      <c r="E293" s="7"/>
      <c r="F293" s="5"/>
      <c r="G293" s="7"/>
      <c r="H293" s="7"/>
      <c r="I293" s="7"/>
      <c r="J293" s="7"/>
      <c r="K293" s="7"/>
      <c r="L293" s="7"/>
      <c r="M293" s="7"/>
      <c r="N293" s="7"/>
      <c r="O293" s="7"/>
      <c r="P293" s="7"/>
      <c r="Q293" s="7"/>
      <c r="R293" s="7"/>
      <c r="S293" s="7"/>
      <c r="T293" s="7"/>
      <c r="U293" s="7"/>
      <c r="V293" s="7"/>
      <c r="W293" s="7"/>
      <c r="X293" s="7"/>
      <c r="Y293" s="7"/>
    </row>
    <row r="294" spans="1:25" x14ac:dyDescent="0.15">
      <c r="A294" s="4"/>
      <c r="B294" s="7"/>
      <c r="C294" s="7"/>
      <c r="D294" s="5"/>
      <c r="E294" s="7"/>
      <c r="F294" s="5"/>
      <c r="G294" s="7"/>
      <c r="H294" s="7"/>
      <c r="I294" s="7"/>
      <c r="J294" s="7"/>
      <c r="K294" s="7"/>
      <c r="L294" s="7"/>
      <c r="M294" s="7"/>
      <c r="N294" s="7"/>
      <c r="O294" s="7"/>
      <c r="P294" s="7"/>
      <c r="Q294" s="7"/>
      <c r="R294" s="7"/>
      <c r="S294" s="7"/>
      <c r="T294" s="7"/>
      <c r="U294" s="7"/>
      <c r="V294" s="7"/>
      <c r="W294" s="7"/>
      <c r="X294" s="7"/>
      <c r="Y294" s="7"/>
    </row>
    <row r="295" spans="1:25" x14ac:dyDescent="0.15">
      <c r="A295" s="4"/>
      <c r="B295" s="7"/>
      <c r="C295" s="7"/>
      <c r="D295" s="5"/>
      <c r="E295" s="7"/>
      <c r="F295" s="5"/>
      <c r="G295" s="7"/>
      <c r="H295" s="7"/>
      <c r="I295" s="7"/>
      <c r="J295" s="7"/>
      <c r="K295" s="7"/>
      <c r="L295" s="7"/>
      <c r="M295" s="7"/>
      <c r="N295" s="7"/>
      <c r="O295" s="7"/>
      <c r="P295" s="7"/>
      <c r="Q295" s="7"/>
      <c r="R295" s="7"/>
      <c r="S295" s="7"/>
      <c r="T295" s="7"/>
      <c r="U295" s="7"/>
      <c r="V295" s="7"/>
      <c r="W295" s="7"/>
      <c r="X295" s="7"/>
      <c r="Y295" s="7"/>
    </row>
    <row r="296" spans="1:25" x14ac:dyDescent="0.15">
      <c r="A296" s="4"/>
      <c r="B296" s="7"/>
      <c r="C296" s="7"/>
      <c r="D296" s="5"/>
      <c r="E296" s="7"/>
      <c r="F296" s="5"/>
      <c r="G296" s="7"/>
      <c r="H296" s="7"/>
      <c r="I296" s="7"/>
      <c r="J296" s="7"/>
      <c r="K296" s="7"/>
      <c r="L296" s="7"/>
      <c r="M296" s="7"/>
      <c r="N296" s="7"/>
      <c r="O296" s="7"/>
      <c r="P296" s="7"/>
      <c r="Q296" s="7"/>
      <c r="R296" s="7"/>
      <c r="S296" s="7"/>
      <c r="T296" s="7"/>
      <c r="U296" s="7"/>
      <c r="V296" s="7"/>
      <c r="W296" s="7"/>
      <c r="X296" s="7"/>
      <c r="Y296" s="7"/>
    </row>
    <row r="297" spans="1:25" x14ac:dyDescent="0.15">
      <c r="A297" s="4"/>
      <c r="B297" s="7"/>
      <c r="C297" s="7"/>
      <c r="D297" s="5"/>
      <c r="E297" s="7"/>
      <c r="F297" s="5"/>
      <c r="G297" s="7"/>
      <c r="H297" s="7"/>
      <c r="I297" s="7"/>
      <c r="J297" s="7"/>
      <c r="K297" s="7"/>
      <c r="L297" s="7"/>
      <c r="M297" s="7"/>
      <c r="N297" s="7"/>
      <c r="O297" s="7"/>
      <c r="P297" s="7"/>
      <c r="Q297" s="7"/>
      <c r="R297" s="7"/>
      <c r="S297" s="7"/>
      <c r="T297" s="7"/>
      <c r="U297" s="7"/>
      <c r="V297" s="7"/>
      <c r="W297" s="7"/>
      <c r="X297" s="7"/>
      <c r="Y297" s="7"/>
    </row>
    <row r="298" spans="1:25" x14ac:dyDescent="0.15">
      <c r="A298" s="4"/>
      <c r="B298" s="7"/>
      <c r="C298" s="7"/>
      <c r="D298" s="5"/>
      <c r="E298" s="7"/>
      <c r="F298" s="5"/>
      <c r="G298" s="7"/>
      <c r="H298" s="7"/>
      <c r="I298" s="7"/>
      <c r="J298" s="7"/>
      <c r="K298" s="7"/>
      <c r="L298" s="7"/>
      <c r="M298" s="7"/>
      <c r="N298" s="7"/>
      <c r="O298" s="7"/>
      <c r="P298" s="7"/>
      <c r="Q298" s="7"/>
      <c r="R298" s="7"/>
      <c r="S298" s="7"/>
      <c r="T298" s="7"/>
      <c r="U298" s="7"/>
      <c r="V298" s="7"/>
      <c r="W298" s="7"/>
      <c r="X298" s="7"/>
      <c r="Y298" s="7"/>
    </row>
    <row r="299" spans="1:25" x14ac:dyDescent="0.15">
      <c r="A299" s="4"/>
      <c r="B299" s="7"/>
      <c r="C299" s="7"/>
      <c r="D299" s="5"/>
      <c r="E299" s="7"/>
      <c r="F299" s="5"/>
      <c r="G299" s="7"/>
      <c r="H299" s="7"/>
      <c r="I299" s="7"/>
      <c r="J299" s="7"/>
      <c r="K299" s="7"/>
      <c r="L299" s="7"/>
      <c r="M299" s="7"/>
      <c r="N299" s="7"/>
      <c r="O299" s="7"/>
      <c r="P299" s="7"/>
      <c r="Q299" s="7"/>
      <c r="R299" s="7"/>
      <c r="S299" s="7"/>
      <c r="T299" s="7"/>
      <c r="U299" s="7"/>
      <c r="V299" s="7"/>
      <c r="W299" s="7"/>
      <c r="X299" s="7"/>
      <c r="Y299" s="7"/>
    </row>
    <row r="300" spans="1:25" x14ac:dyDescent="0.15">
      <c r="A300" s="4"/>
      <c r="B300" s="7"/>
      <c r="C300" s="7"/>
      <c r="D300" s="5"/>
      <c r="E300" s="7"/>
      <c r="F300" s="5"/>
      <c r="G300" s="7"/>
      <c r="H300" s="7"/>
      <c r="I300" s="7"/>
      <c r="J300" s="7"/>
      <c r="K300" s="7"/>
      <c r="L300" s="7"/>
      <c r="M300" s="7"/>
      <c r="N300" s="7"/>
      <c r="O300" s="7"/>
      <c r="P300" s="7"/>
      <c r="Q300" s="7"/>
      <c r="R300" s="7"/>
      <c r="S300" s="7"/>
      <c r="T300" s="7"/>
      <c r="U300" s="7"/>
      <c r="V300" s="7"/>
      <c r="W300" s="7"/>
      <c r="X300" s="7"/>
      <c r="Y300" s="7"/>
    </row>
    <row r="301" spans="1:25" x14ac:dyDescent="0.15">
      <c r="A301" s="4"/>
      <c r="B301" s="7"/>
      <c r="C301" s="7"/>
      <c r="D301" s="5"/>
      <c r="E301" s="7"/>
      <c r="F301" s="5"/>
      <c r="G301" s="7"/>
      <c r="H301" s="7"/>
      <c r="I301" s="7"/>
      <c r="J301" s="7"/>
      <c r="K301" s="7"/>
      <c r="L301" s="7"/>
      <c r="M301" s="7"/>
      <c r="N301" s="7"/>
      <c r="O301" s="7"/>
      <c r="P301" s="7"/>
      <c r="Q301" s="7"/>
      <c r="R301" s="7"/>
      <c r="S301" s="7"/>
      <c r="T301" s="7"/>
      <c r="U301" s="7"/>
      <c r="V301" s="7"/>
      <c r="W301" s="7"/>
      <c r="X301" s="7"/>
      <c r="Y301" s="7"/>
    </row>
    <row r="302" spans="1:25" x14ac:dyDescent="0.15">
      <c r="A302" s="4"/>
      <c r="B302" s="7"/>
      <c r="C302" s="7"/>
      <c r="D302" s="5"/>
      <c r="E302" s="7"/>
      <c r="F302" s="5"/>
      <c r="G302" s="7"/>
      <c r="H302" s="7"/>
      <c r="I302" s="7"/>
      <c r="J302" s="7"/>
      <c r="K302" s="7"/>
      <c r="L302" s="7"/>
      <c r="M302" s="7"/>
      <c r="N302" s="7"/>
      <c r="O302" s="7"/>
      <c r="P302" s="7"/>
      <c r="Q302" s="7"/>
      <c r="R302" s="7"/>
      <c r="S302" s="7"/>
      <c r="T302" s="7"/>
      <c r="U302" s="7"/>
      <c r="V302" s="7"/>
      <c r="W302" s="7"/>
      <c r="X302" s="7"/>
      <c r="Y302" s="7"/>
    </row>
    <row r="303" spans="1:25" x14ac:dyDescent="0.15">
      <c r="A303" s="4"/>
      <c r="B303" s="7"/>
      <c r="C303" s="7"/>
      <c r="D303" s="5"/>
      <c r="E303" s="7"/>
      <c r="F303" s="5"/>
      <c r="G303" s="7"/>
      <c r="H303" s="7"/>
      <c r="I303" s="7"/>
      <c r="J303" s="7"/>
      <c r="K303" s="7"/>
      <c r="L303" s="7"/>
      <c r="M303" s="7"/>
      <c r="N303" s="7"/>
      <c r="O303" s="7"/>
      <c r="P303" s="7"/>
      <c r="Q303" s="7"/>
      <c r="R303" s="7"/>
      <c r="S303" s="7"/>
      <c r="T303" s="7"/>
      <c r="U303" s="7"/>
      <c r="V303" s="7"/>
      <c r="W303" s="7"/>
      <c r="X303" s="7"/>
      <c r="Y303" s="7"/>
    </row>
    <row r="304" spans="1:25" x14ac:dyDescent="0.15">
      <c r="A304" s="4"/>
      <c r="B304" s="7"/>
      <c r="C304" s="7"/>
      <c r="D304" s="5"/>
      <c r="E304" s="7"/>
      <c r="F304" s="5"/>
      <c r="G304" s="7"/>
      <c r="H304" s="7"/>
      <c r="I304" s="7"/>
      <c r="J304" s="7"/>
      <c r="K304" s="7"/>
      <c r="L304" s="7"/>
      <c r="M304" s="7"/>
      <c r="N304" s="7"/>
      <c r="O304" s="7"/>
      <c r="P304" s="7"/>
      <c r="Q304" s="7"/>
      <c r="R304" s="7"/>
      <c r="S304" s="7"/>
      <c r="T304" s="7"/>
      <c r="U304" s="7"/>
      <c r="V304" s="7"/>
      <c r="W304" s="7"/>
      <c r="X304" s="7"/>
      <c r="Y304" s="7"/>
    </row>
    <row r="305" spans="1:25" x14ac:dyDescent="0.15">
      <c r="A305" s="4"/>
      <c r="B305" s="7"/>
      <c r="C305" s="7"/>
      <c r="D305" s="5"/>
      <c r="E305" s="7"/>
      <c r="F305" s="5"/>
      <c r="G305" s="7"/>
      <c r="H305" s="7"/>
      <c r="I305" s="7"/>
      <c r="J305" s="7"/>
      <c r="K305" s="7"/>
      <c r="L305" s="7"/>
      <c r="M305" s="7"/>
      <c r="N305" s="7"/>
      <c r="O305" s="7"/>
      <c r="P305" s="7"/>
      <c r="Q305" s="7"/>
      <c r="R305" s="7"/>
      <c r="S305" s="7"/>
      <c r="T305" s="7"/>
      <c r="U305" s="7"/>
      <c r="V305" s="7"/>
      <c r="W305" s="7"/>
      <c r="X305" s="7"/>
      <c r="Y305" s="7"/>
    </row>
    <row r="306" spans="1:25" x14ac:dyDescent="0.15">
      <c r="A306" s="4"/>
      <c r="B306" s="7"/>
      <c r="C306" s="7"/>
      <c r="D306" s="5"/>
      <c r="E306" s="7"/>
      <c r="F306" s="5"/>
      <c r="G306" s="7"/>
      <c r="H306" s="7"/>
      <c r="I306" s="7"/>
      <c r="J306" s="7"/>
      <c r="K306" s="7"/>
      <c r="L306" s="7"/>
      <c r="M306" s="7"/>
      <c r="N306" s="7"/>
      <c r="O306" s="7"/>
      <c r="P306" s="7"/>
      <c r="Q306" s="7"/>
      <c r="R306" s="7"/>
      <c r="S306" s="7"/>
      <c r="T306" s="7"/>
      <c r="U306" s="7"/>
      <c r="V306" s="7"/>
      <c r="W306" s="7"/>
      <c r="X306" s="7"/>
      <c r="Y306" s="7"/>
    </row>
    <row r="307" spans="1:25" x14ac:dyDescent="0.15">
      <c r="A307" s="4"/>
      <c r="B307" s="7"/>
      <c r="C307" s="7"/>
      <c r="D307" s="5"/>
      <c r="E307" s="7"/>
      <c r="F307" s="5"/>
      <c r="G307" s="7"/>
      <c r="H307" s="7"/>
      <c r="I307" s="7"/>
      <c r="J307" s="7"/>
      <c r="K307" s="7"/>
      <c r="L307" s="7"/>
      <c r="M307" s="7"/>
      <c r="N307" s="7"/>
      <c r="O307" s="7"/>
      <c r="P307" s="7"/>
      <c r="Q307" s="7"/>
      <c r="R307" s="7"/>
      <c r="S307" s="7"/>
      <c r="T307" s="7"/>
      <c r="U307" s="7"/>
      <c r="V307" s="7"/>
      <c r="W307" s="7"/>
      <c r="X307" s="7"/>
      <c r="Y307" s="7"/>
    </row>
    <row r="308" spans="1:25" x14ac:dyDescent="0.15">
      <c r="A308" s="4"/>
      <c r="B308" s="7"/>
      <c r="C308" s="7"/>
      <c r="D308" s="5"/>
      <c r="E308" s="7"/>
      <c r="F308" s="5"/>
      <c r="G308" s="7"/>
      <c r="H308" s="7"/>
      <c r="I308" s="7"/>
      <c r="J308" s="7"/>
      <c r="K308" s="7"/>
      <c r="L308" s="7"/>
      <c r="M308" s="7"/>
      <c r="N308" s="7"/>
      <c r="O308" s="7"/>
      <c r="P308" s="7"/>
      <c r="Q308" s="7"/>
      <c r="R308" s="7"/>
      <c r="S308" s="7"/>
      <c r="T308" s="7"/>
      <c r="U308" s="7"/>
      <c r="V308" s="7"/>
      <c r="W308" s="7"/>
      <c r="X308" s="7"/>
      <c r="Y308" s="7"/>
    </row>
    <row r="309" spans="1:25" x14ac:dyDescent="0.15">
      <c r="A309" s="4"/>
      <c r="B309" s="7"/>
      <c r="C309" s="7"/>
      <c r="D309" s="5"/>
      <c r="E309" s="7"/>
      <c r="F309" s="5"/>
      <c r="G309" s="7"/>
      <c r="H309" s="7"/>
      <c r="I309" s="7"/>
      <c r="J309" s="7"/>
      <c r="K309" s="7"/>
      <c r="L309" s="7"/>
      <c r="M309" s="7"/>
      <c r="N309" s="7"/>
      <c r="O309" s="7"/>
      <c r="P309" s="7"/>
      <c r="Q309" s="7"/>
      <c r="R309" s="7"/>
      <c r="S309" s="7"/>
      <c r="T309" s="7"/>
      <c r="U309" s="7"/>
      <c r="V309" s="7"/>
      <c r="W309" s="7"/>
      <c r="X309" s="7"/>
      <c r="Y309" s="7"/>
    </row>
    <row r="310" spans="1:25" x14ac:dyDescent="0.15">
      <c r="A310" s="4"/>
      <c r="B310" s="7"/>
      <c r="C310" s="7"/>
      <c r="D310" s="5"/>
      <c r="E310" s="7"/>
      <c r="F310" s="5"/>
      <c r="G310" s="7"/>
      <c r="H310" s="7"/>
      <c r="I310" s="7"/>
      <c r="J310" s="7"/>
      <c r="K310" s="7"/>
      <c r="L310" s="7"/>
      <c r="M310" s="7"/>
      <c r="N310" s="7"/>
      <c r="O310" s="7"/>
      <c r="P310" s="7"/>
      <c r="Q310" s="7"/>
      <c r="R310" s="7"/>
      <c r="S310" s="7"/>
      <c r="T310" s="7"/>
      <c r="U310" s="7"/>
      <c r="V310" s="7"/>
      <c r="W310" s="7"/>
      <c r="X310" s="7"/>
      <c r="Y310" s="7"/>
    </row>
    <row r="311" spans="1:25" x14ac:dyDescent="0.15">
      <c r="A311" s="4"/>
      <c r="B311" s="7"/>
      <c r="C311" s="7"/>
      <c r="D311" s="5"/>
      <c r="E311" s="7"/>
      <c r="F311" s="5"/>
      <c r="G311" s="7"/>
      <c r="H311" s="7"/>
      <c r="I311" s="7"/>
      <c r="J311" s="7"/>
      <c r="K311" s="7"/>
      <c r="L311" s="7"/>
      <c r="M311" s="7"/>
      <c r="N311" s="7"/>
      <c r="O311" s="7"/>
      <c r="P311" s="7"/>
      <c r="Q311" s="7"/>
      <c r="R311" s="7"/>
      <c r="S311" s="7"/>
      <c r="T311" s="7"/>
      <c r="U311" s="7"/>
      <c r="V311" s="7"/>
      <c r="W311" s="7"/>
      <c r="X311" s="7"/>
      <c r="Y311" s="7"/>
    </row>
    <row r="312" spans="1:25" x14ac:dyDescent="0.15">
      <c r="A312" s="4"/>
      <c r="B312" s="7"/>
      <c r="C312" s="7"/>
      <c r="D312" s="5"/>
      <c r="E312" s="7"/>
      <c r="F312" s="5"/>
      <c r="G312" s="7"/>
      <c r="H312" s="7"/>
      <c r="I312" s="7"/>
      <c r="J312" s="7"/>
      <c r="K312" s="7"/>
      <c r="L312" s="7"/>
      <c r="M312" s="7"/>
      <c r="N312" s="7"/>
      <c r="O312" s="7"/>
      <c r="P312" s="7"/>
      <c r="Q312" s="7"/>
      <c r="R312" s="7"/>
      <c r="S312" s="7"/>
      <c r="T312" s="7"/>
      <c r="U312" s="7"/>
      <c r="V312" s="7"/>
      <c r="W312" s="7"/>
      <c r="X312" s="7"/>
      <c r="Y312" s="7"/>
    </row>
    <row r="313" spans="1:25" x14ac:dyDescent="0.15">
      <c r="A313" s="4"/>
      <c r="B313" s="7"/>
      <c r="C313" s="7"/>
      <c r="D313" s="5"/>
      <c r="E313" s="7"/>
      <c r="F313" s="5"/>
      <c r="G313" s="7"/>
      <c r="H313" s="7"/>
      <c r="I313" s="7"/>
      <c r="J313" s="7"/>
      <c r="K313" s="7"/>
      <c r="L313" s="7"/>
      <c r="M313" s="7"/>
      <c r="N313" s="7"/>
      <c r="O313" s="7"/>
      <c r="P313" s="7"/>
      <c r="Q313" s="7"/>
      <c r="R313" s="7"/>
      <c r="S313" s="7"/>
      <c r="T313" s="7"/>
      <c r="U313" s="7"/>
      <c r="V313" s="7"/>
      <c r="W313" s="7"/>
      <c r="X313" s="7"/>
      <c r="Y313" s="7"/>
    </row>
    <row r="314" spans="1:25" x14ac:dyDescent="0.15">
      <c r="A314" s="4"/>
      <c r="B314" s="7"/>
      <c r="C314" s="7"/>
      <c r="D314" s="5"/>
      <c r="E314" s="7"/>
      <c r="F314" s="5"/>
      <c r="G314" s="7"/>
      <c r="H314" s="7"/>
      <c r="I314" s="7"/>
      <c r="J314" s="7"/>
      <c r="K314" s="7"/>
      <c r="L314" s="7"/>
      <c r="M314" s="7"/>
      <c r="N314" s="7"/>
      <c r="O314" s="7"/>
      <c r="P314" s="7"/>
      <c r="Q314" s="7"/>
      <c r="R314" s="7"/>
      <c r="S314" s="7"/>
      <c r="T314" s="7"/>
      <c r="U314" s="7"/>
      <c r="V314" s="7"/>
      <c r="W314" s="7"/>
      <c r="X314" s="7"/>
      <c r="Y314" s="7"/>
    </row>
    <row r="315" spans="1:25" x14ac:dyDescent="0.15">
      <c r="A315" s="4"/>
      <c r="B315" s="7"/>
      <c r="C315" s="7"/>
      <c r="D315" s="5"/>
      <c r="E315" s="7"/>
      <c r="F315" s="5"/>
      <c r="G315" s="7"/>
      <c r="H315" s="7"/>
      <c r="I315" s="7"/>
      <c r="J315" s="7"/>
      <c r="K315" s="7"/>
      <c r="L315" s="7"/>
      <c r="M315" s="7"/>
      <c r="N315" s="7"/>
      <c r="O315" s="7"/>
      <c r="P315" s="7"/>
      <c r="Q315" s="7"/>
      <c r="R315" s="7"/>
      <c r="S315" s="7"/>
      <c r="T315" s="7"/>
      <c r="U315" s="7"/>
      <c r="V315" s="7"/>
      <c r="W315" s="7"/>
      <c r="X315" s="7"/>
      <c r="Y315" s="7"/>
    </row>
    <row r="316" spans="1:25" x14ac:dyDescent="0.15">
      <c r="A316" s="4"/>
      <c r="B316" s="7"/>
      <c r="C316" s="7"/>
      <c r="D316" s="5"/>
      <c r="E316" s="7"/>
      <c r="F316" s="5"/>
      <c r="G316" s="7"/>
      <c r="H316" s="7"/>
      <c r="I316" s="7"/>
      <c r="J316" s="7"/>
      <c r="K316" s="7"/>
      <c r="L316" s="7"/>
      <c r="M316" s="7"/>
      <c r="N316" s="7"/>
      <c r="O316" s="7"/>
      <c r="P316" s="7"/>
      <c r="Q316" s="7"/>
      <c r="R316" s="7"/>
      <c r="S316" s="7"/>
      <c r="T316" s="7"/>
      <c r="U316" s="7"/>
      <c r="V316" s="7"/>
      <c r="W316" s="7"/>
      <c r="X316" s="7"/>
      <c r="Y316" s="7"/>
    </row>
    <row r="317" spans="1:25" x14ac:dyDescent="0.15">
      <c r="A317" s="4"/>
      <c r="B317" s="7"/>
      <c r="C317" s="7"/>
      <c r="D317" s="5"/>
      <c r="E317" s="7"/>
      <c r="F317" s="5"/>
      <c r="G317" s="7"/>
      <c r="H317" s="7"/>
      <c r="I317" s="7"/>
      <c r="J317" s="7"/>
      <c r="K317" s="7"/>
      <c r="L317" s="7"/>
      <c r="M317" s="7"/>
      <c r="N317" s="7"/>
      <c r="O317" s="7"/>
      <c r="P317" s="7"/>
      <c r="Q317" s="7"/>
      <c r="R317" s="7"/>
      <c r="S317" s="7"/>
      <c r="T317" s="7"/>
      <c r="U317" s="7"/>
      <c r="V317" s="7"/>
      <c r="W317" s="7"/>
      <c r="X317" s="7"/>
      <c r="Y317" s="7"/>
    </row>
    <row r="318" spans="1:25" x14ac:dyDescent="0.15">
      <c r="A318" s="4"/>
      <c r="B318" s="7"/>
      <c r="C318" s="7"/>
      <c r="D318" s="5"/>
      <c r="E318" s="7"/>
      <c r="F318" s="5"/>
      <c r="G318" s="7"/>
      <c r="H318" s="7"/>
      <c r="I318" s="7"/>
      <c r="J318" s="7"/>
      <c r="K318" s="7"/>
      <c r="L318" s="7"/>
      <c r="M318" s="7"/>
      <c r="N318" s="7"/>
      <c r="O318" s="7"/>
      <c r="P318" s="7"/>
      <c r="Q318" s="7"/>
      <c r="R318" s="7"/>
      <c r="S318" s="7"/>
      <c r="T318" s="7"/>
      <c r="U318" s="7"/>
      <c r="V318" s="7"/>
      <c r="W318" s="7"/>
      <c r="X318" s="7"/>
      <c r="Y318" s="7"/>
    </row>
    <row r="319" spans="1:25" x14ac:dyDescent="0.15">
      <c r="A319" s="4"/>
      <c r="B319" s="7"/>
      <c r="C319" s="7"/>
      <c r="D319" s="5"/>
      <c r="E319" s="7"/>
      <c r="F319" s="5"/>
      <c r="G319" s="7"/>
      <c r="H319" s="7"/>
      <c r="I319" s="7"/>
      <c r="J319" s="7"/>
      <c r="K319" s="7"/>
      <c r="L319" s="7"/>
      <c r="M319" s="7"/>
      <c r="N319" s="7"/>
      <c r="O319" s="7"/>
      <c r="P319" s="7"/>
      <c r="Q319" s="7"/>
      <c r="R319" s="7"/>
      <c r="S319" s="7"/>
      <c r="T319" s="7"/>
      <c r="U319" s="7"/>
      <c r="V319" s="7"/>
      <c r="W319" s="7"/>
      <c r="X319" s="7"/>
      <c r="Y319" s="7"/>
    </row>
    <row r="320" spans="1:25" x14ac:dyDescent="0.15">
      <c r="A320" s="4"/>
      <c r="B320" s="7"/>
      <c r="C320" s="7"/>
      <c r="D320" s="5"/>
      <c r="E320" s="7"/>
      <c r="F320" s="5"/>
      <c r="G320" s="7"/>
      <c r="H320" s="7"/>
      <c r="I320" s="7"/>
      <c r="J320" s="7"/>
      <c r="K320" s="7"/>
      <c r="L320" s="7"/>
      <c r="M320" s="7"/>
      <c r="N320" s="7"/>
      <c r="O320" s="7"/>
      <c r="P320" s="7"/>
      <c r="Q320" s="7"/>
      <c r="R320" s="7"/>
      <c r="S320" s="7"/>
      <c r="T320" s="7"/>
      <c r="U320" s="7"/>
      <c r="V320" s="7"/>
      <c r="W320" s="7"/>
      <c r="X320" s="7"/>
      <c r="Y320" s="7"/>
    </row>
    <row r="321" spans="1:25" x14ac:dyDescent="0.15">
      <c r="A321" s="4"/>
      <c r="B321" s="7"/>
      <c r="C321" s="7"/>
      <c r="D321" s="5"/>
      <c r="E321" s="7"/>
      <c r="F321" s="5"/>
      <c r="G321" s="7"/>
      <c r="H321" s="7"/>
      <c r="I321" s="7"/>
      <c r="J321" s="7"/>
      <c r="K321" s="7"/>
      <c r="L321" s="7"/>
      <c r="M321" s="7"/>
      <c r="N321" s="7"/>
      <c r="O321" s="7"/>
      <c r="P321" s="7"/>
      <c r="Q321" s="7"/>
      <c r="R321" s="7"/>
      <c r="S321" s="7"/>
      <c r="T321" s="7"/>
      <c r="U321" s="7"/>
      <c r="V321" s="7"/>
      <c r="W321" s="7"/>
      <c r="X321" s="7"/>
      <c r="Y321" s="7"/>
    </row>
    <row r="322" spans="1:25" x14ac:dyDescent="0.15">
      <c r="A322" s="4"/>
      <c r="B322" s="7"/>
      <c r="C322" s="7"/>
      <c r="D322" s="5"/>
      <c r="E322" s="7"/>
      <c r="F322" s="5"/>
      <c r="G322" s="7"/>
      <c r="H322" s="7"/>
      <c r="I322" s="7"/>
      <c r="J322" s="7"/>
      <c r="K322" s="7"/>
      <c r="L322" s="7"/>
      <c r="M322" s="7"/>
      <c r="N322" s="7"/>
      <c r="O322" s="7"/>
      <c r="P322" s="7"/>
      <c r="Q322" s="7"/>
      <c r="R322" s="7"/>
      <c r="S322" s="7"/>
      <c r="T322" s="7"/>
      <c r="U322" s="7"/>
      <c r="V322" s="7"/>
      <c r="W322" s="7"/>
      <c r="X322" s="7"/>
      <c r="Y322" s="7"/>
    </row>
    <row r="323" spans="1:25" x14ac:dyDescent="0.15">
      <c r="A323" s="4"/>
      <c r="B323" s="7"/>
      <c r="C323" s="7"/>
      <c r="D323" s="5"/>
      <c r="E323" s="7"/>
      <c r="F323" s="5"/>
      <c r="G323" s="7"/>
      <c r="H323" s="7"/>
      <c r="I323" s="7"/>
      <c r="J323" s="7"/>
      <c r="K323" s="7"/>
      <c r="L323" s="7"/>
      <c r="M323" s="7"/>
      <c r="N323" s="7"/>
      <c r="O323" s="7"/>
      <c r="P323" s="7"/>
      <c r="Q323" s="7"/>
      <c r="R323" s="7"/>
      <c r="S323" s="7"/>
      <c r="T323" s="7"/>
      <c r="U323" s="7"/>
      <c r="V323" s="7"/>
      <c r="W323" s="7"/>
      <c r="X323" s="7"/>
      <c r="Y323" s="7"/>
    </row>
    <row r="324" spans="1:25" x14ac:dyDescent="0.15">
      <c r="A324" s="4"/>
      <c r="B324" s="7"/>
      <c r="C324" s="7"/>
      <c r="D324" s="5"/>
      <c r="E324" s="7"/>
      <c r="F324" s="5"/>
      <c r="G324" s="7"/>
      <c r="H324" s="7"/>
      <c r="I324" s="7"/>
      <c r="J324" s="7"/>
      <c r="K324" s="7"/>
      <c r="L324" s="7"/>
      <c r="M324" s="7"/>
      <c r="N324" s="7"/>
      <c r="O324" s="7"/>
      <c r="P324" s="7"/>
      <c r="Q324" s="7"/>
      <c r="R324" s="7"/>
      <c r="S324" s="7"/>
      <c r="T324" s="7"/>
      <c r="U324" s="7"/>
      <c r="V324" s="7"/>
      <c r="W324" s="7"/>
      <c r="X324" s="7"/>
      <c r="Y324" s="7"/>
    </row>
    <row r="325" spans="1:25" x14ac:dyDescent="0.15">
      <c r="A325" s="4"/>
      <c r="B325" s="7"/>
      <c r="C325" s="7"/>
      <c r="D325" s="5"/>
      <c r="E325" s="7"/>
      <c r="F325" s="5"/>
      <c r="G325" s="7"/>
      <c r="H325" s="7"/>
      <c r="I325" s="7"/>
      <c r="J325" s="7"/>
      <c r="K325" s="7"/>
      <c r="L325" s="7"/>
      <c r="M325" s="7"/>
      <c r="N325" s="7"/>
      <c r="O325" s="7"/>
      <c r="P325" s="7"/>
      <c r="Q325" s="7"/>
      <c r="R325" s="7"/>
      <c r="S325" s="7"/>
      <c r="T325" s="7"/>
      <c r="U325" s="7"/>
      <c r="V325" s="7"/>
      <c r="W325" s="7"/>
      <c r="X325" s="7"/>
      <c r="Y325" s="7"/>
    </row>
    <row r="326" spans="1:25" x14ac:dyDescent="0.15">
      <c r="A326" s="4"/>
      <c r="B326" s="7"/>
      <c r="C326" s="7"/>
      <c r="D326" s="5"/>
      <c r="E326" s="7"/>
      <c r="F326" s="5"/>
      <c r="G326" s="7"/>
      <c r="H326" s="7"/>
      <c r="I326" s="7"/>
      <c r="J326" s="7"/>
      <c r="K326" s="7"/>
      <c r="L326" s="7"/>
      <c r="M326" s="7"/>
      <c r="N326" s="7"/>
      <c r="O326" s="7"/>
      <c r="P326" s="7"/>
      <c r="Q326" s="7"/>
      <c r="R326" s="7"/>
      <c r="S326" s="7"/>
      <c r="T326" s="7"/>
      <c r="U326" s="7"/>
      <c r="V326" s="7"/>
      <c r="W326" s="7"/>
      <c r="X326" s="7"/>
      <c r="Y326" s="7"/>
    </row>
    <row r="327" spans="1:25" x14ac:dyDescent="0.15">
      <c r="A327" s="4"/>
      <c r="B327" s="7"/>
      <c r="C327" s="7"/>
      <c r="D327" s="5"/>
      <c r="E327" s="7"/>
      <c r="F327" s="5"/>
      <c r="G327" s="7"/>
      <c r="H327" s="7"/>
      <c r="I327" s="7"/>
      <c r="J327" s="7"/>
      <c r="K327" s="7"/>
      <c r="L327" s="7"/>
      <c r="M327" s="7"/>
      <c r="N327" s="7"/>
      <c r="O327" s="7"/>
      <c r="P327" s="7"/>
      <c r="Q327" s="7"/>
      <c r="R327" s="7"/>
      <c r="S327" s="7"/>
      <c r="T327" s="7"/>
      <c r="U327" s="7"/>
      <c r="V327" s="7"/>
      <c r="W327" s="7"/>
      <c r="X327" s="7"/>
      <c r="Y327" s="7"/>
    </row>
    <row r="328" spans="1:25" x14ac:dyDescent="0.15">
      <c r="A328" s="4"/>
      <c r="B328" s="7"/>
      <c r="C328" s="7"/>
      <c r="D328" s="5"/>
      <c r="E328" s="7"/>
      <c r="F328" s="5"/>
      <c r="G328" s="7"/>
      <c r="H328" s="7"/>
      <c r="I328" s="7"/>
      <c r="J328" s="7"/>
      <c r="K328" s="7"/>
      <c r="L328" s="7"/>
      <c r="M328" s="7"/>
      <c r="N328" s="7"/>
      <c r="O328" s="7"/>
      <c r="P328" s="7"/>
      <c r="Q328" s="7"/>
      <c r="R328" s="7"/>
      <c r="S328" s="7"/>
      <c r="T328" s="7"/>
      <c r="U328" s="7"/>
      <c r="V328" s="7"/>
      <c r="W328" s="7"/>
      <c r="X328" s="7"/>
      <c r="Y328" s="7"/>
    </row>
    <row r="329" spans="1:25" x14ac:dyDescent="0.15">
      <c r="A329" s="4"/>
      <c r="B329" s="7"/>
      <c r="C329" s="7"/>
      <c r="D329" s="5"/>
      <c r="E329" s="7"/>
      <c r="F329" s="5"/>
      <c r="G329" s="7"/>
      <c r="H329" s="7"/>
      <c r="I329" s="7"/>
      <c r="J329" s="7"/>
      <c r="K329" s="7"/>
      <c r="L329" s="7"/>
      <c r="M329" s="7"/>
      <c r="N329" s="7"/>
      <c r="O329" s="7"/>
      <c r="P329" s="7"/>
      <c r="Q329" s="7"/>
      <c r="R329" s="7"/>
      <c r="S329" s="7"/>
      <c r="T329" s="7"/>
      <c r="U329" s="7"/>
      <c r="V329" s="7"/>
      <c r="W329" s="7"/>
      <c r="X329" s="7"/>
      <c r="Y329" s="7"/>
    </row>
    <row r="330" spans="1:25" x14ac:dyDescent="0.15">
      <c r="A330" s="4"/>
      <c r="B330" s="7"/>
      <c r="C330" s="7"/>
      <c r="D330" s="5"/>
      <c r="E330" s="7"/>
      <c r="F330" s="5"/>
      <c r="G330" s="7"/>
      <c r="H330" s="7"/>
      <c r="I330" s="7"/>
      <c r="J330" s="7"/>
      <c r="K330" s="7"/>
      <c r="L330" s="7"/>
      <c r="M330" s="7"/>
      <c r="N330" s="7"/>
      <c r="O330" s="7"/>
      <c r="P330" s="7"/>
      <c r="Q330" s="7"/>
      <c r="R330" s="7"/>
      <c r="S330" s="7"/>
      <c r="T330" s="7"/>
      <c r="U330" s="7"/>
      <c r="V330" s="7"/>
      <c r="W330" s="7"/>
      <c r="X330" s="7"/>
      <c r="Y330" s="7"/>
    </row>
    <row r="331" spans="1:25" x14ac:dyDescent="0.15">
      <c r="A331" s="4"/>
      <c r="B331" s="7"/>
      <c r="C331" s="7"/>
      <c r="D331" s="5"/>
      <c r="E331" s="7"/>
      <c r="F331" s="5"/>
      <c r="G331" s="7"/>
      <c r="H331" s="7"/>
      <c r="I331" s="7"/>
      <c r="J331" s="7"/>
      <c r="K331" s="7"/>
      <c r="L331" s="7"/>
      <c r="M331" s="7"/>
      <c r="N331" s="7"/>
      <c r="O331" s="7"/>
      <c r="P331" s="7"/>
      <c r="Q331" s="7"/>
      <c r="R331" s="7"/>
      <c r="S331" s="7"/>
      <c r="T331" s="7"/>
      <c r="U331" s="7"/>
      <c r="V331" s="7"/>
      <c r="W331" s="7"/>
      <c r="X331" s="7"/>
      <c r="Y331" s="7"/>
    </row>
    <row r="332" spans="1:25" x14ac:dyDescent="0.15">
      <c r="A332" s="4"/>
      <c r="B332" s="7"/>
      <c r="C332" s="7"/>
      <c r="D332" s="5"/>
      <c r="E332" s="7"/>
      <c r="F332" s="5"/>
      <c r="G332" s="7"/>
      <c r="H332" s="7"/>
      <c r="I332" s="7"/>
      <c r="J332" s="7"/>
      <c r="K332" s="7"/>
      <c r="L332" s="7"/>
      <c r="M332" s="7"/>
      <c r="N332" s="7"/>
      <c r="O332" s="7"/>
      <c r="P332" s="7"/>
      <c r="Q332" s="7"/>
      <c r="R332" s="7"/>
      <c r="S332" s="7"/>
      <c r="T332" s="7"/>
      <c r="U332" s="7"/>
      <c r="V332" s="7"/>
      <c r="W332" s="7"/>
      <c r="X332" s="7"/>
      <c r="Y332" s="7"/>
    </row>
    <row r="333" spans="1:25" x14ac:dyDescent="0.15">
      <c r="A333" s="4"/>
      <c r="B333" s="7"/>
      <c r="C333" s="7"/>
      <c r="D333" s="5"/>
      <c r="E333" s="7"/>
      <c r="F333" s="5"/>
      <c r="G333" s="7"/>
      <c r="H333" s="7"/>
      <c r="I333" s="7"/>
      <c r="J333" s="7"/>
      <c r="K333" s="7"/>
      <c r="L333" s="7"/>
      <c r="M333" s="7"/>
      <c r="N333" s="7"/>
      <c r="O333" s="7"/>
      <c r="P333" s="7"/>
      <c r="Q333" s="7"/>
      <c r="R333" s="7"/>
      <c r="S333" s="7"/>
      <c r="T333" s="7"/>
      <c r="U333" s="7"/>
      <c r="V333" s="7"/>
      <c r="W333" s="7"/>
      <c r="X333" s="7"/>
      <c r="Y333" s="7"/>
    </row>
    <row r="334" spans="1:25" x14ac:dyDescent="0.15">
      <c r="A334" s="4"/>
      <c r="B334" s="7"/>
      <c r="C334" s="7"/>
      <c r="D334" s="5"/>
      <c r="E334" s="7"/>
      <c r="F334" s="5"/>
      <c r="G334" s="7"/>
      <c r="H334" s="7"/>
      <c r="I334" s="7"/>
      <c r="J334" s="7"/>
      <c r="K334" s="7"/>
      <c r="L334" s="7"/>
      <c r="M334" s="7"/>
      <c r="N334" s="7"/>
      <c r="O334" s="7"/>
      <c r="P334" s="7"/>
      <c r="Q334" s="7"/>
      <c r="R334" s="7"/>
      <c r="S334" s="7"/>
      <c r="T334" s="7"/>
      <c r="U334" s="7"/>
      <c r="V334" s="7"/>
      <c r="W334" s="7"/>
      <c r="X334" s="7"/>
      <c r="Y334" s="7"/>
    </row>
    <row r="335" spans="1:25" x14ac:dyDescent="0.15">
      <c r="A335" s="4"/>
      <c r="B335" s="7"/>
      <c r="C335" s="7"/>
      <c r="D335" s="5"/>
      <c r="E335" s="7"/>
      <c r="F335" s="5"/>
      <c r="G335" s="7"/>
      <c r="H335" s="7"/>
      <c r="I335" s="7"/>
      <c r="J335" s="7"/>
      <c r="K335" s="7"/>
      <c r="L335" s="7"/>
      <c r="M335" s="7"/>
      <c r="N335" s="7"/>
      <c r="O335" s="7"/>
      <c r="P335" s="7"/>
      <c r="Q335" s="7"/>
      <c r="R335" s="7"/>
      <c r="S335" s="7"/>
      <c r="T335" s="7"/>
      <c r="U335" s="7"/>
      <c r="V335" s="7"/>
      <c r="W335" s="7"/>
      <c r="X335" s="7"/>
      <c r="Y335" s="7"/>
    </row>
    <row r="336" spans="1:25" x14ac:dyDescent="0.15">
      <c r="A336" s="4"/>
      <c r="B336" s="7"/>
      <c r="C336" s="7"/>
      <c r="D336" s="5"/>
      <c r="E336" s="7"/>
      <c r="F336" s="5"/>
      <c r="G336" s="7"/>
      <c r="H336" s="7"/>
      <c r="I336" s="7"/>
      <c r="J336" s="7"/>
      <c r="K336" s="7"/>
      <c r="L336" s="7"/>
      <c r="M336" s="7"/>
      <c r="N336" s="7"/>
      <c r="O336" s="7"/>
      <c r="P336" s="7"/>
      <c r="Q336" s="7"/>
      <c r="R336" s="7"/>
      <c r="S336" s="7"/>
      <c r="T336" s="7"/>
      <c r="U336" s="7"/>
      <c r="V336" s="7"/>
      <c r="W336" s="7"/>
      <c r="X336" s="7"/>
      <c r="Y336" s="7"/>
    </row>
    <row r="337" spans="1:25" x14ac:dyDescent="0.15">
      <c r="A337" s="4"/>
      <c r="B337" s="7"/>
      <c r="C337" s="7"/>
      <c r="D337" s="5"/>
      <c r="E337" s="7"/>
      <c r="F337" s="5"/>
      <c r="G337" s="7"/>
      <c r="H337" s="7"/>
      <c r="I337" s="7"/>
      <c r="J337" s="7"/>
      <c r="K337" s="7"/>
      <c r="L337" s="7"/>
      <c r="M337" s="7"/>
      <c r="N337" s="7"/>
      <c r="O337" s="7"/>
      <c r="P337" s="7"/>
      <c r="Q337" s="7"/>
      <c r="R337" s="7"/>
      <c r="S337" s="7"/>
      <c r="T337" s="7"/>
      <c r="U337" s="7"/>
      <c r="V337" s="7"/>
      <c r="W337" s="7"/>
      <c r="X337" s="7"/>
      <c r="Y337" s="7"/>
    </row>
    <row r="338" spans="1:25" x14ac:dyDescent="0.15">
      <c r="A338" s="4"/>
      <c r="B338" s="7"/>
      <c r="C338" s="7"/>
      <c r="D338" s="5"/>
      <c r="E338" s="7"/>
      <c r="F338" s="5"/>
      <c r="G338" s="7"/>
      <c r="H338" s="7"/>
      <c r="I338" s="7"/>
      <c r="J338" s="7"/>
      <c r="K338" s="7"/>
      <c r="L338" s="7"/>
      <c r="M338" s="7"/>
      <c r="N338" s="7"/>
      <c r="O338" s="7"/>
      <c r="P338" s="7"/>
      <c r="Q338" s="7"/>
      <c r="R338" s="7"/>
      <c r="S338" s="7"/>
      <c r="T338" s="7"/>
      <c r="U338" s="7"/>
      <c r="V338" s="7"/>
      <c r="W338" s="7"/>
      <c r="X338" s="7"/>
      <c r="Y338" s="7"/>
    </row>
    <row r="339" spans="1:25" x14ac:dyDescent="0.15">
      <c r="A339" s="4"/>
      <c r="B339" s="7"/>
      <c r="C339" s="7"/>
      <c r="D339" s="5"/>
      <c r="E339" s="7"/>
      <c r="F339" s="5"/>
      <c r="G339" s="7"/>
      <c r="H339" s="7"/>
      <c r="I339" s="7"/>
      <c r="J339" s="7"/>
      <c r="K339" s="7"/>
      <c r="L339" s="7"/>
      <c r="M339" s="7"/>
      <c r="N339" s="7"/>
      <c r="O339" s="7"/>
      <c r="P339" s="7"/>
      <c r="Q339" s="7"/>
      <c r="R339" s="7"/>
      <c r="S339" s="7"/>
      <c r="T339" s="7"/>
      <c r="U339" s="7"/>
      <c r="V339" s="7"/>
      <c r="W339" s="7"/>
      <c r="X339" s="7"/>
      <c r="Y339" s="7"/>
    </row>
    <row r="340" spans="1:25" x14ac:dyDescent="0.15">
      <c r="A340" s="4"/>
      <c r="B340" s="7"/>
      <c r="C340" s="7"/>
      <c r="D340" s="5"/>
      <c r="E340" s="7"/>
      <c r="F340" s="5"/>
      <c r="G340" s="7"/>
      <c r="H340" s="7"/>
      <c r="I340" s="7"/>
      <c r="J340" s="7"/>
      <c r="K340" s="7"/>
      <c r="L340" s="7"/>
      <c r="M340" s="7"/>
      <c r="N340" s="7"/>
      <c r="O340" s="7"/>
      <c r="P340" s="7"/>
      <c r="Q340" s="7"/>
      <c r="R340" s="7"/>
      <c r="S340" s="7"/>
      <c r="T340" s="7"/>
      <c r="U340" s="7"/>
      <c r="V340" s="7"/>
      <c r="W340" s="7"/>
      <c r="X340" s="7"/>
      <c r="Y340" s="7"/>
    </row>
    <row r="341" spans="1:25" x14ac:dyDescent="0.15">
      <c r="A341" s="4"/>
      <c r="B341" s="7"/>
      <c r="C341" s="7"/>
      <c r="D341" s="5"/>
      <c r="E341" s="7"/>
      <c r="F341" s="5"/>
      <c r="G341" s="7"/>
      <c r="H341" s="7"/>
      <c r="I341" s="7"/>
      <c r="J341" s="7"/>
      <c r="K341" s="7"/>
      <c r="L341" s="7"/>
      <c r="M341" s="7"/>
      <c r="N341" s="7"/>
      <c r="O341" s="7"/>
      <c r="P341" s="7"/>
      <c r="Q341" s="7"/>
      <c r="R341" s="7"/>
      <c r="S341" s="7"/>
      <c r="T341" s="7"/>
      <c r="U341" s="7"/>
      <c r="V341" s="7"/>
      <c r="W341" s="7"/>
      <c r="X341" s="7"/>
      <c r="Y341" s="7"/>
    </row>
    <row r="342" spans="1:25" x14ac:dyDescent="0.15">
      <c r="A342" s="4"/>
      <c r="B342" s="7"/>
      <c r="C342" s="7"/>
      <c r="D342" s="5"/>
      <c r="E342" s="7"/>
      <c r="F342" s="5"/>
      <c r="G342" s="7"/>
      <c r="H342" s="7"/>
      <c r="I342" s="7"/>
      <c r="J342" s="7"/>
      <c r="K342" s="7"/>
      <c r="L342" s="7"/>
      <c r="M342" s="7"/>
      <c r="N342" s="7"/>
      <c r="O342" s="7"/>
      <c r="P342" s="7"/>
      <c r="Q342" s="7"/>
      <c r="R342" s="7"/>
      <c r="S342" s="7"/>
      <c r="T342" s="7"/>
      <c r="U342" s="7"/>
      <c r="V342" s="7"/>
      <c r="W342" s="7"/>
      <c r="X342" s="7"/>
      <c r="Y342" s="7"/>
    </row>
    <row r="343" spans="1:25" x14ac:dyDescent="0.15">
      <c r="A343" s="4"/>
      <c r="B343" s="7"/>
      <c r="C343" s="7"/>
      <c r="D343" s="5"/>
      <c r="E343" s="7"/>
      <c r="F343" s="5"/>
      <c r="G343" s="7"/>
      <c r="H343" s="7"/>
      <c r="I343" s="7"/>
      <c r="J343" s="7"/>
      <c r="K343" s="7"/>
      <c r="L343" s="7"/>
      <c r="M343" s="7"/>
      <c r="N343" s="7"/>
      <c r="O343" s="7"/>
      <c r="P343" s="7"/>
      <c r="Q343" s="7"/>
      <c r="R343" s="7"/>
      <c r="S343" s="7"/>
      <c r="T343" s="7"/>
      <c r="U343" s="7"/>
      <c r="V343" s="7"/>
      <c r="W343" s="7"/>
      <c r="X343" s="7"/>
      <c r="Y343" s="7"/>
    </row>
    <row r="344" spans="1:25" x14ac:dyDescent="0.15">
      <c r="A344" s="4"/>
      <c r="B344" s="7"/>
      <c r="C344" s="7"/>
      <c r="D344" s="5"/>
      <c r="E344" s="7"/>
      <c r="F344" s="5"/>
      <c r="G344" s="7"/>
      <c r="H344" s="7"/>
      <c r="I344" s="7"/>
      <c r="J344" s="7"/>
      <c r="K344" s="7"/>
      <c r="L344" s="7"/>
      <c r="M344" s="7"/>
      <c r="N344" s="7"/>
      <c r="O344" s="7"/>
      <c r="P344" s="7"/>
      <c r="Q344" s="7"/>
      <c r="R344" s="7"/>
      <c r="S344" s="7"/>
      <c r="T344" s="7"/>
      <c r="U344" s="7"/>
      <c r="V344" s="7"/>
      <c r="W344" s="7"/>
      <c r="X344" s="7"/>
      <c r="Y344" s="7"/>
    </row>
    <row r="345" spans="1:25" x14ac:dyDescent="0.15">
      <c r="A345" s="4"/>
      <c r="B345" s="7"/>
      <c r="C345" s="7"/>
      <c r="D345" s="5"/>
      <c r="E345" s="7"/>
      <c r="F345" s="5"/>
      <c r="G345" s="7"/>
      <c r="H345" s="7"/>
      <c r="I345" s="7"/>
      <c r="J345" s="7"/>
      <c r="K345" s="7"/>
      <c r="L345" s="7"/>
      <c r="M345" s="7"/>
      <c r="N345" s="7"/>
      <c r="O345" s="7"/>
      <c r="P345" s="7"/>
      <c r="Q345" s="7"/>
      <c r="R345" s="7"/>
      <c r="S345" s="7"/>
      <c r="T345" s="7"/>
      <c r="U345" s="7"/>
      <c r="V345" s="7"/>
      <c r="W345" s="7"/>
      <c r="X345" s="7"/>
      <c r="Y345" s="7"/>
    </row>
    <row r="346" spans="1:25" x14ac:dyDescent="0.15">
      <c r="A346" s="4"/>
      <c r="B346" s="7"/>
      <c r="C346" s="7"/>
      <c r="D346" s="5"/>
      <c r="E346" s="7"/>
      <c r="F346" s="5"/>
      <c r="G346" s="7"/>
      <c r="H346" s="7"/>
      <c r="I346" s="7"/>
      <c r="J346" s="7"/>
      <c r="K346" s="7"/>
      <c r="L346" s="7"/>
      <c r="M346" s="7"/>
      <c r="N346" s="7"/>
      <c r="O346" s="7"/>
      <c r="P346" s="7"/>
      <c r="Q346" s="7"/>
      <c r="R346" s="7"/>
      <c r="S346" s="7"/>
      <c r="T346" s="7"/>
      <c r="U346" s="7"/>
      <c r="V346" s="7"/>
      <c r="W346" s="7"/>
      <c r="X346" s="7"/>
      <c r="Y346" s="7"/>
    </row>
    <row r="347" spans="1:25" x14ac:dyDescent="0.15">
      <c r="A347" s="4"/>
      <c r="B347" s="7"/>
      <c r="C347" s="7"/>
      <c r="D347" s="5"/>
      <c r="E347" s="7"/>
      <c r="F347" s="5"/>
      <c r="G347" s="7"/>
      <c r="H347" s="7"/>
      <c r="I347" s="7"/>
      <c r="J347" s="7"/>
      <c r="K347" s="7"/>
      <c r="L347" s="7"/>
      <c r="M347" s="7"/>
      <c r="N347" s="7"/>
      <c r="O347" s="7"/>
      <c r="P347" s="7"/>
      <c r="Q347" s="7"/>
      <c r="R347" s="7"/>
      <c r="S347" s="7"/>
      <c r="T347" s="7"/>
      <c r="U347" s="7"/>
      <c r="V347" s="7"/>
      <c r="W347" s="7"/>
      <c r="X347" s="7"/>
      <c r="Y347" s="7"/>
    </row>
    <row r="348" spans="1:25" x14ac:dyDescent="0.15">
      <c r="A348" s="4"/>
      <c r="B348" s="7"/>
      <c r="C348" s="7"/>
      <c r="D348" s="5"/>
      <c r="E348" s="7"/>
      <c r="F348" s="5"/>
      <c r="G348" s="7"/>
      <c r="H348" s="7"/>
      <c r="I348" s="7"/>
      <c r="J348" s="7"/>
      <c r="K348" s="7"/>
      <c r="L348" s="7"/>
      <c r="M348" s="7"/>
      <c r="N348" s="7"/>
      <c r="O348" s="7"/>
      <c r="P348" s="7"/>
      <c r="Q348" s="7"/>
      <c r="R348" s="7"/>
      <c r="S348" s="7"/>
      <c r="T348" s="7"/>
      <c r="U348" s="7"/>
      <c r="V348" s="7"/>
      <c r="W348" s="7"/>
      <c r="X348" s="7"/>
      <c r="Y348" s="7"/>
    </row>
    <row r="349" spans="1:25" x14ac:dyDescent="0.15">
      <c r="A349" s="4"/>
      <c r="B349" s="7"/>
      <c r="C349" s="7"/>
      <c r="D349" s="5"/>
      <c r="E349" s="7"/>
      <c r="F349" s="5"/>
      <c r="G349" s="7"/>
      <c r="H349" s="7"/>
      <c r="I349" s="7"/>
      <c r="J349" s="7"/>
      <c r="K349" s="7"/>
      <c r="L349" s="7"/>
      <c r="M349" s="7"/>
      <c r="N349" s="7"/>
      <c r="O349" s="7"/>
      <c r="P349" s="7"/>
      <c r="Q349" s="7"/>
      <c r="R349" s="7"/>
      <c r="S349" s="7"/>
      <c r="T349" s="7"/>
      <c r="U349" s="7"/>
      <c r="V349" s="7"/>
      <c r="W349" s="7"/>
      <c r="X349" s="7"/>
      <c r="Y349" s="7"/>
    </row>
    <row r="350" spans="1:25" x14ac:dyDescent="0.15">
      <c r="A350" s="4"/>
      <c r="B350" s="7"/>
      <c r="C350" s="7"/>
      <c r="D350" s="5"/>
      <c r="E350" s="7"/>
      <c r="F350" s="5"/>
      <c r="G350" s="7"/>
      <c r="H350" s="7"/>
      <c r="I350" s="7"/>
      <c r="J350" s="7"/>
      <c r="K350" s="7"/>
      <c r="L350" s="7"/>
      <c r="M350" s="7"/>
      <c r="N350" s="7"/>
      <c r="O350" s="7"/>
      <c r="P350" s="7"/>
      <c r="Q350" s="7"/>
      <c r="R350" s="7"/>
      <c r="S350" s="7"/>
      <c r="T350" s="7"/>
      <c r="U350" s="7"/>
      <c r="V350" s="7"/>
      <c r="W350" s="7"/>
      <c r="X350" s="7"/>
      <c r="Y350" s="7"/>
    </row>
    <row r="351" spans="1:25" x14ac:dyDescent="0.15">
      <c r="A351" s="4"/>
      <c r="B351" s="7"/>
      <c r="C351" s="7"/>
      <c r="D351" s="5"/>
      <c r="E351" s="7"/>
      <c r="F351" s="5"/>
      <c r="G351" s="7"/>
      <c r="H351" s="7"/>
      <c r="I351" s="7"/>
      <c r="J351" s="7"/>
      <c r="K351" s="7"/>
      <c r="L351" s="7"/>
      <c r="M351" s="7"/>
      <c r="N351" s="7"/>
      <c r="O351" s="7"/>
      <c r="P351" s="7"/>
      <c r="Q351" s="7"/>
      <c r="R351" s="7"/>
      <c r="S351" s="7"/>
      <c r="T351" s="7"/>
      <c r="U351" s="7"/>
      <c r="V351" s="7"/>
      <c r="W351" s="7"/>
      <c r="X351" s="7"/>
      <c r="Y351" s="7"/>
    </row>
    <row r="352" spans="1:25" x14ac:dyDescent="0.15">
      <c r="A352" s="4"/>
      <c r="B352" s="7"/>
      <c r="C352" s="7"/>
      <c r="D352" s="5"/>
      <c r="E352" s="7"/>
      <c r="F352" s="5"/>
      <c r="G352" s="7"/>
      <c r="H352" s="7"/>
      <c r="I352" s="7"/>
      <c r="J352" s="7"/>
      <c r="K352" s="7"/>
      <c r="L352" s="7"/>
      <c r="M352" s="7"/>
      <c r="N352" s="7"/>
      <c r="O352" s="7"/>
      <c r="P352" s="7"/>
      <c r="Q352" s="7"/>
      <c r="R352" s="7"/>
      <c r="S352" s="7"/>
      <c r="T352" s="7"/>
      <c r="U352" s="7"/>
      <c r="V352" s="7"/>
      <c r="W352" s="7"/>
      <c r="X352" s="7"/>
      <c r="Y352" s="7"/>
    </row>
    <row r="353" spans="1:25" x14ac:dyDescent="0.15">
      <c r="A353" s="4"/>
      <c r="B353" s="7"/>
      <c r="C353" s="7"/>
      <c r="D353" s="5"/>
      <c r="E353" s="7"/>
      <c r="F353" s="5"/>
      <c r="G353" s="7"/>
      <c r="H353" s="7"/>
      <c r="I353" s="7"/>
      <c r="J353" s="7"/>
      <c r="K353" s="7"/>
      <c r="L353" s="7"/>
      <c r="M353" s="7"/>
      <c r="N353" s="7"/>
      <c r="O353" s="7"/>
      <c r="P353" s="7"/>
      <c r="Q353" s="7"/>
      <c r="R353" s="7"/>
      <c r="S353" s="7"/>
      <c r="T353" s="7"/>
      <c r="U353" s="7"/>
      <c r="V353" s="7"/>
      <c r="W353" s="7"/>
      <c r="X353" s="7"/>
      <c r="Y353" s="7"/>
    </row>
    <row r="354" spans="1:25" x14ac:dyDescent="0.15">
      <c r="A354" s="4"/>
      <c r="B354" s="7"/>
      <c r="C354" s="7"/>
      <c r="D354" s="5"/>
      <c r="E354" s="7"/>
      <c r="F354" s="5"/>
      <c r="G354" s="7"/>
      <c r="H354" s="7"/>
      <c r="I354" s="7"/>
      <c r="J354" s="7"/>
      <c r="K354" s="7"/>
      <c r="L354" s="7"/>
      <c r="M354" s="7"/>
      <c r="N354" s="7"/>
      <c r="O354" s="7"/>
      <c r="P354" s="7"/>
      <c r="Q354" s="7"/>
      <c r="R354" s="7"/>
      <c r="S354" s="7"/>
      <c r="T354" s="7"/>
      <c r="U354" s="7"/>
      <c r="V354" s="7"/>
      <c r="W354" s="7"/>
      <c r="X354" s="7"/>
      <c r="Y354" s="7"/>
    </row>
    <row r="355" spans="1:25" x14ac:dyDescent="0.15">
      <c r="A355" s="4"/>
      <c r="B355" s="7"/>
      <c r="C355" s="7"/>
      <c r="D355" s="5"/>
      <c r="E355" s="7"/>
      <c r="F355" s="5"/>
      <c r="G355" s="7"/>
      <c r="H355" s="7"/>
      <c r="I355" s="7"/>
      <c r="J355" s="7"/>
      <c r="K355" s="7"/>
      <c r="L355" s="7"/>
      <c r="M355" s="7"/>
      <c r="N355" s="7"/>
      <c r="O355" s="7"/>
      <c r="P355" s="7"/>
      <c r="Q355" s="7"/>
      <c r="R355" s="7"/>
      <c r="S355" s="7"/>
      <c r="T355" s="7"/>
      <c r="U355" s="7"/>
      <c r="V355" s="7"/>
      <c r="W355" s="7"/>
      <c r="X355" s="7"/>
      <c r="Y355" s="7"/>
    </row>
    <row r="356" spans="1:25" x14ac:dyDescent="0.15">
      <c r="A356" s="4"/>
      <c r="B356" s="7"/>
      <c r="C356" s="7"/>
      <c r="D356" s="5"/>
      <c r="E356" s="7"/>
      <c r="F356" s="5"/>
      <c r="G356" s="7"/>
      <c r="H356" s="7"/>
      <c r="I356" s="7"/>
      <c r="J356" s="7"/>
      <c r="K356" s="7"/>
      <c r="L356" s="7"/>
      <c r="M356" s="7"/>
      <c r="N356" s="7"/>
      <c r="O356" s="7"/>
      <c r="P356" s="7"/>
      <c r="Q356" s="7"/>
      <c r="R356" s="7"/>
      <c r="S356" s="7"/>
      <c r="T356" s="7"/>
      <c r="U356" s="7"/>
      <c r="V356" s="7"/>
      <c r="W356" s="7"/>
      <c r="X356" s="7"/>
      <c r="Y356" s="7"/>
    </row>
    <row r="357" spans="1:25" x14ac:dyDescent="0.15">
      <c r="A357" s="4"/>
      <c r="B357" s="7"/>
      <c r="C357" s="7"/>
      <c r="D357" s="5"/>
      <c r="E357" s="7"/>
      <c r="F357" s="5"/>
      <c r="G357" s="7"/>
      <c r="H357" s="7"/>
      <c r="I357" s="7"/>
      <c r="J357" s="7"/>
      <c r="K357" s="7"/>
      <c r="L357" s="7"/>
      <c r="M357" s="7"/>
      <c r="N357" s="7"/>
      <c r="O357" s="7"/>
      <c r="P357" s="7"/>
      <c r="Q357" s="7"/>
      <c r="R357" s="7"/>
      <c r="S357" s="7"/>
      <c r="T357" s="7"/>
      <c r="U357" s="7"/>
      <c r="V357" s="7"/>
      <c r="W357" s="7"/>
      <c r="X357" s="7"/>
      <c r="Y357" s="7"/>
    </row>
    <row r="358" spans="1:25" x14ac:dyDescent="0.15">
      <c r="A358" s="4"/>
      <c r="B358" s="7"/>
      <c r="C358" s="7"/>
      <c r="D358" s="5"/>
      <c r="E358" s="7"/>
      <c r="F358" s="5"/>
      <c r="G358" s="7"/>
      <c r="H358" s="7"/>
      <c r="I358" s="7"/>
      <c r="J358" s="7"/>
      <c r="K358" s="7"/>
      <c r="L358" s="7"/>
      <c r="M358" s="7"/>
      <c r="N358" s="7"/>
      <c r="O358" s="7"/>
      <c r="P358" s="7"/>
      <c r="Q358" s="7"/>
      <c r="R358" s="7"/>
      <c r="S358" s="7"/>
      <c r="T358" s="7"/>
      <c r="U358" s="7"/>
      <c r="V358" s="7"/>
      <c r="W358" s="7"/>
      <c r="X358" s="7"/>
      <c r="Y358" s="7"/>
    </row>
    <row r="359" spans="1:25" x14ac:dyDescent="0.15">
      <c r="A359" s="4"/>
      <c r="B359" s="7"/>
      <c r="C359" s="7"/>
      <c r="D359" s="5"/>
      <c r="E359" s="7"/>
      <c r="F359" s="5"/>
      <c r="G359" s="7"/>
      <c r="H359" s="7"/>
      <c r="I359" s="7"/>
      <c r="J359" s="7"/>
      <c r="K359" s="7"/>
      <c r="L359" s="7"/>
      <c r="M359" s="7"/>
      <c r="N359" s="7"/>
      <c r="O359" s="7"/>
      <c r="P359" s="7"/>
      <c r="Q359" s="7"/>
      <c r="R359" s="7"/>
      <c r="S359" s="7"/>
      <c r="T359" s="7"/>
      <c r="U359" s="7"/>
      <c r="V359" s="7"/>
      <c r="W359" s="7"/>
      <c r="X359" s="7"/>
      <c r="Y359" s="7"/>
    </row>
    <row r="360" spans="1:25" x14ac:dyDescent="0.15">
      <c r="A360" s="4"/>
      <c r="B360" s="7"/>
      <c r="C360" s="7"/>
      <c r="D360" s="5"/>
      <c r="E360" s="7"/>
      <c r="F360" s="5"/>
      <c r="G360" s="7"/>
      <c r="H360" s="7"/>
      <c r="I360" s="7"/>
      <c r="J360" s="7"/>
      <c r="K360" s="7"/>
      <c r="L360" s="7"/>
      <c r="M360" s="7"/>
      <c r="N360" s="7"/>
      <c r="O360" s="7"/>
      <c r="P360" s="7"/>
      <c r="Q360" s="7"/>
      <c r="R360" s="7"/>
      <c r="S360" s="7"/>
      <c r="T360" s="7"/>
      <c r="U360" s="7"/>
      <c r="V360" s="7"/>
      <c r="W360" s="7"/>
      <c r="X360" s="7"/>
      <c r="Y360" s="7"/>
    </row>
    <row r="361" spans="1:25" x14ac:dyDescent="0.15">
      <c r="A361" s="4"/>
      <c r="B361" s="7"/>
      <c r="C361" s="7"/>
      <c r="D361" s="5"/>
      <c r="E361" s="7"/>
      <c r="F361" s="5"/>
      <c r="G361" s="7"/>
      <c r="H361" s="7"/>
      <c r="I361" s="7"/>
      <c r="J361" s="7"/>
      <c r="K361" s="7"/>
      <c r="L361" s="7"/>
      <c r="M361" s="7"/>
      <c r="N361" s="7"/>
      <c r="O361" s="7"/>
      <c r="P361" s="7"/>
      <c r="Q361" s="7"/>
      <c r="R361" s="7"/>
      <c r="S361" s="7"/>
      <c r="T361" s="7"/>
      <c r="U361" s="7"/>
      <c r="V361" s="7"/>
      <c r="W361" s="7"/>
      <c r="X361" s="7"/>
      <c r="Y361" s="7"/>
    </row>
    <row r="362" spans="1:25" x14ac:dyDescent="0.15">
      <c r="A362" s="4"/>
      <c r="B362" s="7"/>
      <c r="C362" s="7"/>
      <c r="D362" s="5"/>
      <c r="E362" s="7"/>
      <c r="F362" s="5"/>
      <c r="G362" s="7"/>
      <c r="H362" s="7"/>
      <c r="I362" s="7"/>
      <c r="J362" s="7"/>
      <c r="K362" s="7"/>
      <c r="L362" s="7"/>
      <c r="M362" s="7"/>
      <c r="N362" s="7"/>
      <c r="O362" s="7"/>
      <c r="P362" s="7"/>
      <c r="Q362" s="7"/>
      <c r="R362" s="7"/>
      <c r="S362" s="7"/>
      <c r="T362" s="7"/>
      <c r="U362" s="7"/>
      <c r="V362" s="7"/>
      <c r="W362" s="7"/>
      <c r="X362" s="7"/>
      <c r="Y362" s="7"/>
    </row>
    <row r="363" spans="1:25" x14ac:dyDescent="0.15">
      <c r="A363" s="4"/>
      <c r="B363" s="7"/>
      <c r="C363" s="7"/>
      <c r="D363" s="5"/>
      <c r="E363" s="7"/>
      <c r="F363" s="5"/>
      <c r="G363" s="7"/>
      <c r="H363" s="7"/>
      <c r="I363" s="7"/>
      <c r="J363" s="7"/>
      <c r="K363" s="7"/>
      <c r="L363" s="7"/>
      <c r="M363" s="7"/>
      <c r="N363" s="7"/>
      <c r="O363" s="7"/>
      <c r="P363" s="7"/>
      <c r="Q363" s="7"/>
      <c r="R363" s="7"/>
      <c r="S363" s="7"/>
      <c r="T363" s="7"/>
      <c r="U363" s="7"/>
      <c r="V363" s="7"/>
      <c r="W363" s="7"/>
      <c r="X363" s="7"/>
      <c r="Y363" s="7"/>
    </row>
    <row r="364" spans="1:25" x14ac:dyDescent="0.15">
      <c r="A364" s="4"/>
      <c r="B364" s="7"/>
      <c r="C364" s="7"/>
      <c r="D364" s="5"/>
      <c r="E364" s="7"/>
      <c r="F364" s="5"/>
      <c r="G364" s="7"/>
      <c r="H364" s="7"/>
      <c r="I364" s="7"/>
      <c r="J364" s="7"/>
      <c r="K364" s="7"/>
      <c r="L364" s="7"/>
      <c r="M364" s="7"/>
      <c r="N364" s="7"/>
      <c r="O364" s="7"/>
      <c r="P364" s="7"/>
      <c r="Q364" s="7"/>
      <c r="R364" s="7"/>
      <c r="S364" s="7"/>
      <c r="T364" s="7"/>
      <c r="U364" s="7"/>
      <c r="V364" s="7"/>
      <c r="W364" s="7"/>
      <c r="X364" s="7"/>
      <c r="Y364" s="7"/>
    </row>
    <row r="365" spans="1:25" x14ac:dyDescent="0.15">
      <c r="A365" s="4"/>
      <c r="B365" s="7"/>
      <c r="C365" s="7"/>
      <c r="D365" s="5"/>
      <c r="E365" s="7"/>
      <c r="F365" s="5"/>
      <c r="G365" s="7"/>
      <c r="H365" s="7"/>
      <c r="I365" s="7"/>
      <c r="J365" s="7"/>
      <c r="K365" s="7"/>
      <c r="L365" s="7"/>
      <c r="M365" s="7"/>
      <c r="N365" s="7"/>
      <c r="O365" s="7"/>
      <c r="P365" s="7"/>
      <c r="Q365" s="7"/>
      <c r="R365" s="7"/>
      <c r="S365" s="7"/>
      <c r="T365" s="7"/>
      <c r="U365" s="7"/>
      <c r="V365" s="7"/>
      <c r="W365" s="7"/>
      <c r="X365" s="7"/>
      <c r="Y365" s="7"/>
    </row>
    <row r="366" spans="1:25" x14ac:dyDescent="0.15">
      <c r="A366" s="4"/>
      <c r="B366" s="7"/>
      <c r="C366" s="7"/>
      <c r="D366" s="5"/>
      <c r="E366" s="7"/>
      <c r="F366" s="5"/>
      <c r="G366" s="7"/>
      <c r="H366" s="7"/>
      <c r="I366" s="7"/>
      <c r="J366" s="7"/>
      <c r="K366" s="7"/>
      <c r="L366" s="7"/>
      <c r="M366" s="7"/>
      <c r="N366" s="7"/>
      <c r="O366" s="7"/>
      <c r="P366" s="7"/>
      <c r="Q366" s="7"/>
      <c r="R366" s="7"/>
      <c r="S366" s="7"/>
      <c r="T366" s="7"/>
      <c r="U366" s="7"/>
      <c r="V366" s="7"/>
      <c r="W366" s="7"/>
      <c r="X366" s="7"/>
      <c r="Y366" s="7"/>
    </row>
    <row r="367" spans="1:25" x14ac:dyDescent="0.15">
      <c r="A367" s="4"/>
      <c r="B367" s="7"/>
      <c r="C367" s="7"/>
      <c r="D367" s="5"/>
      <c r="E367" s="7"/>
      <c r="F367" s="5"/>
      <c r="G367" s="7"/>
      <c r="H367" s="7"/>
      <c r="I367" s="7"/>
      <c r="J367" s="7"/>
      <c r="K367" s="7"/>
      <c r="L367" s="7"/>
      <c r="M367" s="7"/>
      <c r="N367" s="7"/>
      <c r="O367" s="7"/>
      <c r="P367" s="7"/>
      <c r="Q367" s="7"/>
      <c r="R367" s="7"/>
      <c r="S367" s="7"/>
      <c r="T367" s="7"/>
      <c r="U367" s="7"/>
      <c r="V367" s="7"/>
      <c r="W367" s="7"/>
      <c r="X367" s="7"/>
      <c r="Y367" s="7"/>
    </row>
    <row r="368" spans="1:25" x14ac:dyDescent="0.15">
      <c r="A368" s="4"/>
      <c r="B368" s="7"/>
      <c r="C368" s="7"/>
      <c r="D368" s="5"/>
      <c r="E368" s="7"/>
      <c r="F368" s="5"/>
      <c r="G368" s="7"/>
      <c r="H368" s="7"/>
      <c r="I368" s="7"/>
      <c r="J368" s="7"/>
      <c r="K368" s="7"/>
      <c r="L368" s="7"/>
      <c r="M368" s="7"/>
      <c r="N368" s="7"/>
      <c r="O368" s="7"/>
      <c r="P368" s="7"/>
      <c r="Q368" s="7"/>
      <c r="R368" s="7"/>
      <c r="S368" s="7"/>
      <c r="T368" s="7"/>
      <c r="U368" s="7"/>
      <c r="V368" s="7"/>
      <c r="W368" s="7"/>
      <c r="X368" s="7"/>
      <c r="Y368" s="7"/>
    </row>
    <row r="369" spans="1:25" x14ac:dyDescent="0.15">
      <c r="A369" s="4"/>
      <c r="B369" s="7"/>
      <c r="C369" s="7"/>
      <c r="D369" s="5"/>
      <c r="E369" s="7"/>
      <c r="F369" s="5"/>
      <c r="G369" s="7"/>
      <c r="H369" s="7"/>
      <c r="I369" s="7"/>
      <c r="J369" s="7"/>
      <c r="K369" s="7"/>
      <c r="L369" s="7"/>
      <c r="M369" s="7"/>
      <c r="N369" s="7"/>
      <c r="O369" s="7"/>
      <c r="P369" s="7"/>
      <c r="Q369" s="7"/>
      <c r="R369" s="7"/>
      <c r="S369" s="7"/>
      <c r="T369" s="7"/>
      <c r="U369" s="7"/>
      <c r="V369" s="7"/>
      <c r="W369" s="7"/>
      <c r="X369" s="7"/>
      <c r="Y369" s="7"/>
    </row>
    <row r="370" spans="1:25" x14ac:dyDescent="0.15">
      <c r="A370" s="4"/>
      <c r="B370" s="7"/>
      <c r="C370" s="7"/>
      <c r="D370" s="5"/>
      <c r="E370" s="7"/>
      <c r="F370" s="5"/>
      <c r="G370" s="7"/>
      <c r="H370" s="7"/>
      <c r="I370" s="7"/>
      <c r="J370" s="7"/>
      <c r="K370" s="7"/>
      <c r="L370" s="7"/>
      <c r="M370" s="7"/>
      <c r="N370" s="7"/>
      <c r="O370" s="7"/>
      <c r="P370" s="7"/>
      <c r="Q370" s="7"/>
      <c r="R370" s="7"/>
      <c r="S370" s="7"/>
      <c r="T370" s="7"/>
      <c r="U370" s="7"/>
      <c r="V370" s="7"/>
      <c r="W370" s="7"/>
      <c r="X370" s="7"/>
      <c r="Y370" s="7"/>
    </row>
    <row r="371" spans="1:25" x14ac:dyDescent="0.15">
      <c r="A371" s="4"/>
      <c r="B371" s="7"/>
      <c r="C371" s="7"/>
      <c r="D371" s="5"/>
      <c r="E371" s="7"/>
      <c r="F371" s="5"/>
      <c r="G371" s="7"/>
      <c r="H371" s="7"/>
      <c r="I371" s="7"/>
      <c r="J371" s="7"/>
      <c r="K371" s="7"/>
      <c r="L371" s="7"/>
      <c r="M371" s="7"/>
      <c r="N371" s="7"/>
      <c r="O371" s="7"/>
      <c r="P371" s="7"/>
      <c r="Q371" s="7"/>
      <c r="R371" s="7"/>
      <c r="S371" s="7"/>
      <c r="T371" s="7"/>
      <c r="U371" s="7"/>
      <c r="V371" s="7"/>
      <c r="W371" s="7"/>
      <c r="X371" s="7"/>
      <c r="Y371" s="7"/>
    </row>
    <row r="372" spans="1:25" x14ac:dyDescent="0.15">
      <c r="A372" s="4"/>
      <c r="B372" s="7"/>
      <c r="C372" s="7"/>
      <c r="D372" s="5"/>
      <c r="E372" s="7"/>
      <c r="F372" s="5"/>
      <c r="G372" s="7"/>
      <c r="H372" s="7"/>
      <c r="I372" s="7"/>
      <c r="J372" s="7"/>
      <c r="K372" s="7"/>
      <c r="L372" s="7"/>
      <c r="M372" s="7"/>
      <c r="N372" s="7"/>
      <c r="O372" s="7"/>
      <c r="P372" s="7"/>
      <c r="Q372" s="7"/>
      <c r="R372" s="7"/>
      <c r="S372" s="7"/>
      <c r="T372" s="7"/>
      <c r="U372" s="7"/>
      <c r="V372" s="7"/>
      <c r="W372" s="7"/>
      <c r="X372" s="7"/>
      <c r="Y372" s="7"/>
    </row>
    <row r="373" spans="1:25" x14ac:dyDescent="0.15">
      <c r="A373" s="4"/>
      <c r="B373" s="7"/>
      <c r="C373" s="7"/>
      <c r="D373" s="5"/>
      <c r="E373" s="7"/>
      <c r="F373" s="5"/>
      <c r="G373" s="7"/>
      <c r="H373" s="7"/>
      <c r="I373" s="7"/>
      <c r="J373" s="7"/>
      <c r="K373" s="7"/>
      <c r="L373" s="7"/>
      <c r="M373" s="7"/>
      <c r="N373" s="7"/>
      <c r="O373" s="7"/>
      <c r="P373" s="7"/>
      <c r="Q373" s="7"/>
      <c r="R373" s="7"/>
      <c r="S373" s="7"/>
      <c r="T373" s="7"/>
      <c r="U373" s="7"/>
      <c r="V373" s="7"/>
      <c r="W373" s="7"/>
      <c r="X373" s="7"/>
      <c r="Y373" s="7"/>
    </row>
    <row r="374" spans="1:25" x14ac:dyDescent="0.15">
      <c r="A374" s="4"/>
      <c r="B374" s="7"/>
      <c r="C374" s="7"/>
      <c r="D374" s="5"/>
      <c r="E374" s="7"/>
      <c r="F374" s="5"/>
      <c r="G374" s="7"/>
      <c r="H374" s="7"/>
      <c r="I374" s="7"/>
      <c r="J374" s="7"/>
      <c r="K374" s="7"/>
      <c r="L374" s="7"/>
      <c r="M374" s="7"/>
      <c r="N374" s="7"/>
      <c r="O374" s="7"/>
      <c r="P374" s="7"/>
      <c r="Q374" s="7"/>
      <c r="R374" s="7"/>
      <c r="S374" s="7"/>
      <c r="T374" s="7"/>
      <c r="U374" s="7"/>
      <c r="V374" s="7"/>
      <c r="W374" s="7"/>
      <c r="X374" s="7"/>
      <c r="Y374" s="7"/>
    </row>
    <row r="375" spans="1:25" x14ac:dyDescent="0.15">
      <c r="A375" s="4"/>
      <c r="B375" s="7"/>
      <c r="C375" s="7"/>
      <c r="D375" s="5"/>
      <c r="E375" s="7"/>
      <c r="F375" s="5"/>
      <c r="G375" s="7"/>
      <c r="H375" s="7"/>
      <c r="I375" s="7"/>
      <c r="J375" s="7"/>
      <c r="K375" s="7"/>
      <c r="L375" s="7"/>
      <c r="M375" s="7"/>
      <c r="N375" s="7"/>
      <c r="O375" s="7"/>
      <c r="P375" s="7"/>
      <c r="Q375" s="7"/>
      <c r="R375" s="7"/>
      <c r="S375" s="7"/>
      <c r="T375" s="7"/>
      <c r="U375" s="7"/>
      <c r="V375" s="7"/>
      <c r="W375" s="7"/>
      <c r="X375" s="7"/>
      <c r="Y375" s="7"/>
    </row>
    <row r="376" spans="1:25" x14ac:dyDescent="0.15">
      <c r="A376" s="4"/>
      <c r="B376" s="7"/>
      <c r="C376" s="7"/>
      <c r="D376" s="5"/>
      <c r="E376" s="7"/>
      <c r="F376" s="5"/>
      <c r="G376" s="7"/>
      <c r="H376" s="7"/>
      <c r="I376" s="7"/>
      <c r="J376" s="7"/>
      <c r="K376" s="7"/>
      <c r="L376" s="7"/>
      <c r="M376" s="7"/>
      <c r="N376" s="7"/>
      <c r="O376" s="7"/>
      <c r="P376" s="7"/>
      <c r="Q376" s="7"/>
      <c r="R376" s="7"/>
      <c r="S376" s="7"/>
      <c r="T376" s="7"/>
      <c r="U376" s="7"/>
      <c r="V376" s="7"/>
      <c r="W376" s="7"/>
      <c r="X376" s="7"/>
      <c r="Y376" s="7"/>
    </row>
    <row r="377" spans="1:25" x14ac:dyDescent="0.15">
      <c r="A377" s="4"/>
      <c r="B377" s="7"/>
      <c r="C377" s="7"/>
      <c r="D377" s="5"/>
      <c r="E377" s="7"/>
      <c r="F377" s="5"/>
      <c r="G377" s="7"/>
      <c r="H377" s="7"/>
      <c r="I377" s="7"/>
      <c r="J377" s="7"/>
      <c r="K377" s="7"/>
      <c r="L377" s="7"/>
      <c r="M377" s="7"/>
      <c r="N377" s="7"/>
      <c r="O377" s="7"/>
      <c r="P377" s="7"/>
      <c r="Q377" s="7"/>
      <c r="R377" s="7"/>
      <c r="S377" s="7"/>
      <c r="T377" s="7"/>
      <c r="U377" s="7"/>
      <c r="V377" s="7"/>
      <c r="W377" s="7"/>
      <c r="X377" s="7"/>
      <c r="Y377" s="7"/>
    </row>
    <row r="378" spans="1:25" x14ac:dyDescent="0.15">
      <c r="A378" s="4"/>
      <c r="B378" s="7"/>
      <c r="C378" s="7"/>
      <c r="D378" s="5"/>
      <c r="E378" s="7"/>
      <c r="F378" s="5"/>
      <c r="G378" s="7"/>
      <c r="H378" s="7"/>
      <c r="I378" s="7"/>
      <c r="J378" s="7"/>
      <c r="K378" s="7"/>
      <c r="L378" s="7"/>
      <c r="M378" s="7"/>
      <c r="N378" s="7"/>
      <c r="O378" s="7"/>
      <c r="P378" s="7"/>
      <c r="Q378" s="7"/>
      <c r="R378" s="7"/>
      <c r="S378" s="7"/>
      <c r="T378" s="7"/>
      <c r="U378" s="7"/>
      <c r="V378" s="7"/>
      <c r="W378" s="7"/>
      <c r="X378" s="7"/>
      <c r="Y378" s="7"/>
    </row>
    <row r="379" spans="1:25" x14ac:dyDescent="0.15">
      <c r="A379" s="4"/>
      <c r="B379" s="7"/>
      <c r="C379" s="7"/>
      <c r="D379" s="5"/>
      <c r="E379" s="7"/>
      <c r="F379" s="5"/>
      <c r="G379" s="7"/>
      <c r="H379" s="7"/>
      <c r="I379" s="7"/>
      <c r="J379" s="7"/>
      <c r="K379" s="7"/>
      <c r="L379" s="7"/>
      <c r="M379" s="7"/>
      <c r="N379" s="7"/>
      <c r="O379" s="7"/>
      <c r="P379" s="7"/>
      <c r="Q379" s="7"/>
      <c r="R379" s="7"/>
      <c r="S379" s="7"/>
      <c r="T379" s="7"/>
      <c r="U379" s="7"/>
      <c r="V379" s="7"/>
      <c r="W379" s="7"/>
      <c r="X379" s="7"/>
      <c r="Y379" s="7"/>
    </row>
    <row r="380" spans="1:25" x14ac:dyDescent="0.15">
      <c r="A380" s="4"/>
      <c r="B380" s="7"/>
      <c r="C380" s="7"/>
      <c r="D380" s="5"/>
      <c r="E380" s="7"/>
      <c r="F380" s="5"/>
      <c r="G380" s="7"/>
      <c r="H380" s="7"/>
      <c r="I380" s="7"/>
      <c r="J380" s="7"/>
      <c r="K380" s="7"/>
      <c r="L380" s="7"/>
      <c r="M380" s="7"/>
      <c r="N380" s="7"/>
      <c r="O380" s="7"/>
      <c r="P380" s="7"/>
      <c r="Q380" s="7"/>
      <c r="R380" s="7"/>
      <c r="S380" s="7"/>
      <c r="T380" s="7"/>
      <c r="U380" s="7"/>
      <c r="V380" s="7"/>
      <c r="W380" s="7"/>
      <c r="X380" s="7"/>
      <c r="Y380" s="7"/>
    </row>
    <row r="381" spans="1:25" x14ac:dyDescent="0.15">
      <c r="A381" s="4"/>
      <c r="B381" s="7"/>
      <c r="C381" s="7"/>
      <c r="D381" s="5"/>
      <c r="E381" s="7"/>
      <c r="F381" s="5"/>
      <c r="G381" s="7"/>
    </row>
    <row r="382" spans="1:25" x14ac:dyDescent="0.15">
      <c r="A382" s="4"/>
      <c r="B382" s="7"/>
      <c r="C382" s="7"/>
      <c r="D382" s="5"/>
      <c r="E382" s="7"/>
      <c r="F382" s="5"/>
      <c r="G382" s="7"/>
    </row>
    <row r="383" spans="1:25" x14ac:dyDescent="0.15">
      <c r="A383" s="4"/>
      <c r="B383" s="7"/>
      <c r="C383" s="7"/>
      <c r="D383" s="5"/>
      <c r="E383" s="7"/>
      <c r="F383" s="5"/>
      <c r="G383" s="7"/>
    </row>
    <row r="384" spans="1:25" x14ac:dyDescent="0.15">
      <c r="A384" s="4"/>
      <c r="B384" s="7"/>
      <c r="C384" s="7"/>
      <c r="D384" s="5"/>
      <c r="E384" s="7"/>
      <c r="F384" s="5"/>
      <c r="G384" s="7"/>
    </row>
    <row r="385" spans="1:7" x14ac:dyDescent="0.15">
      <c r="A385" s="4"/>
      <c r="B385" s="7"/>
      <c r="C385" s="7"/>
      <c r="D385" s="5"/>
      <c r="E385" s="7"/>
      <c r="F385" s="5"/>
      <c r="G385" s="7"/>
    </row>
    <row r="386" spans="1:7" x14ac:dyDescent="0.15">
      <c r="A386" s="4"/>
      <c r="B386" s="7"/>
      <c r="C386" s="7"/>
      <c r="D386" s="5"/>
      <c r="E386" s="7"/>
      <c r="F386" s="5"/>
      <c r="G386" s="7"/>
    </row>
    <row r="387" spans="1:7" x14ac:dyDescent="0.15">
      <c r="A387" s="4"/>
      <c r="B387" s="7"/>
      <c r="C387" s="7"/>
      <c r="D387" s="5"/>
      <c r="E387" s="7"/>
      <c r="F387" s="5"/>
      <c r="G387" s="7"/>
    </row>
    <row r="388" spans="1:7" x14ac:dyDescent="0.15">
      <c r="A388" s="4"/>
      <c r="B388" s="7"/>
      <c r="C388" s="7"/>
      <c r="D388" s="5"/>
      <c r="E388" s="7"/>
      <c r="F388" s="5"/>
      <c r="G388" s="7"/>
    </row>
    <row r="389" spans="1:7" x14ac:dyDescent="0.15">
      <c r="A389" s="4"/>
      <c r="B389" s="7"/>
      <c r="C389" s="7"/>
      <c r="D389" s="5"/>
      <c r="E389" s="7"/>
      <c r="F389" s="5"/>
      <c r="G389" s="7"/>
    </row>
  </sheetData>
  <phoneticPr fontId="2" type="noConversion"/>
  <pageMargins left="0.75" right="0.75" top="1" bottom="1" header="0.5" footer="0.5"/>
  <pageSetup paperSize="9" scale="65" orientation="landscape" r:id="rId1"/>
  <headerFooter alignWithMargins="0"/>
  <ignoredErrors>
    <ignoredError sqref="E3" formula="1"/>
  </ignoredErrors>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0"/>
  <sheetViews>
    <sheetView tabSelected="1" zoomScaleNormal="100" workbookViewId="0">
      <pane xSplit="1" ySplit="2" topLeftCell="B3" activePane="bottomRight" state="frozen"/>
      <selection pane="topRight" activeCell="B1" sqref="B1"/>
      <selection pane="bottomLeft" activeCell="A3" sqref="A3"/>
      <selection pane="bottomRight" activeCell="C44" sqref="C44"/>
    </sheetView>
  </sheetViews>
  <sheetFormatPr defaultRowHeight="12" x14ac:dyDescent="0.15"/>
  <cols>
    <col min="1" max="1" width="18.625" style="10" bestFit="1" customWidth="1"/>
    <col min="2" max="2" width="11.625" style="9" bestFit="1" customWidth="1"/>
    <col min="3" max="3" width="7.625" style="9" bestFit="1" customWidth="1"/>
    <col min="4" max="4" width="12.75" style="9" bestFit="1" customWidth="1"/>
    <col min="5" max="5" width="7.625" style="9" bestFit="1" customWidth="1"/>
    <col min="6" max="6" width="12.75" style="27" bestFit="1" customWidth="1"/>
    <col min="7" max="7" width="7.625" style="9" bestFit="1" customWidth="1"/>
    <col min="8" max="8" width="11.25" style="9" bestFit="1" customWidth="1"/>
    <col min="9" max="9" width="7.625" style="9" bestFit="1" customWidth="1"/>
    <col min="10" max="16384" width="9" style="9"/>
  </cols>
  <sheetData>
    <row r="1" spans="1:9" ht="12.75" thickBot="1" x14ac:dyDescent="0.2">
      <c r="A1" s="99"/>
      <c r="B1" s="40"/>
      <c r="C1" s="40"/>
      <c r="D1" s="40"/>
      <c r="E1" s="40"/>
      <c r="F1" s="100"/>
      <c r="G1" s="40"/>
      <c r="H1" s="120" t="s">
        <v>331</v>
      </c>
      <c r="I1" s="40"/>
    </row>
    <row r="2" spans="1:9" x14ac:dyDescent="0.15">
      <c r="A2" s="332"/>
      <c r="B2" s="333" t="s">
        <v>332</v>
      </c>
      <c r="C2" s="334" t="s">
        <v>105</v>
      </c>
      <c r="D2" s="333" t="s">
        <v>143</v>
      </c>
      <c r="E2" s="335" t="s">
        <v>105</v>
      </c>
      <c r="F2" s="336" t="s">
        <v>147</v>
      </c>
      <c r="G2" s="335" t="s">
        <v>105</v>
      </c>
      <c r="H2" s="101">
        <v>39965</v>
      </c>
      <c r="I2" s="337" t="s">
        <v>105</v>
      </c>
    </row>
    <row r="3" spans="1:9" x14ac:dyDescent="0.15">
      <c r="A3" s="339" t="s">
        <v>333</v>
      </c>
      <c r="B3" s="102">
        <f>B4+B13+B16+B17+B18+B19</f>
        <v>89074.747503999999</v>
      </c>
      <c r="C3" s="338">
        <f t="shared" ref="C3:C40" si="0">B3/B$3</f>
        <v>1</v>
      </c>
      <c r="D3" s="102">
        <f>D4+D13+D16+D17+D18+D19</f>
        <v>115937.68552499999</v>
      </c>
      <c r="E3" s="338">
        <f t="shared" ref="E3:E40" si="1">D3/$D$3</f>
        <v>1</v>
      </c>
      <c r="F3" s="103">
        <f>F4+F13+F16+F17+F18+F19</f>
        <v>116849.26106999999</v>
      </c>
      <c r="G3" s="338">
        <f>F3/$F$3</f>
        <v>1</v>
      </c>
      <c r="H3" s="104">
        <f>H4+H13+H16+H17+H18+H19</f>
        <v>214835.50121100002</v>
      </c>
      <c r="I3" s="345">
        <f>H3/$H$3</f>
        <v>1</v>
      </c>
    </row>
    <row r="4" spans="1:9" x14ac:dyDescent="0.15">
      <c r="A4" s="105" t="s">
        <v>98</v>
      </c>
      <c r="B4" s="102">
        <f>411142943.51/10000</f>
        <v>41114.294350999997</v>
      </c>
      <c r="C4" s="338">
        <f t="shared" si="0"/>
        <v>0.46157070890550339</v>
      </c>
      <c r="D4" s="102">
        <f>188287900.82/10000</f>
        <v>18828.790082</v>
      </c>
      <c r="E4" s="338">
        <f t="shared" si="1"/>
        <v>0.1624043985071609</v>
      </c>
      <c r="F4" s="106">
        <f>206515867.2/10000</f>
        <v>20651.586719999999</v>
      </c>
      <c r="G4" s="338">
        <f t="shared" ref="G4:G40" si="2">F4/$F$3</f>
        <v>0.17673699029751169</v>
      </c>
      <c r="H4" s="104">
        <f>H6+H5+H7+H8+H9+H10+H11+H12</f>
        <v>15825.576252999999</v>
      </c>
      <c r="I4" s="345">
        <f t="shared" ref="I4:I40" si="3">H4/$H$3</f>
        <v>7.3663692284530569E-2</v>
      </c>
    </row>
    <row r="5" spans="1:9" ht="12.75" x14ac:dyDescent="0.2">
      <c r="A5" s="105" t="s">
        <v>334</v>
      </c>
      <c r="B5" s="107">
        <f>30845.45/10000</f>
        <v>3.0845449999999999</v>
      </c>
      <c r="C5" s="338">
        <f t="shared" si="0"/>
        <v>3.462872572118697E-5</v>
      </c>
      <c r="D5" s="102">
        <f>11.78/10000</f>
        <v>1.178E-3</v>
      </c>
      <c r="E5" s="338">
        <f t="shared" si="1"/>
        <v>1.0160630641069544E-8</v>
      </c>
      <c r="F5" s="106">
        <f>21511.08/10000</f>
        <v>2.1511080000000002</v>
      </c>
      <c r="G5" s="338">
        <f t="shared" si="2"/>
        <v>1.8409256338483412E-5</v>
      </c>
      <c r="H5" s="104">
        <f>50138/10000</f>
        <v>5.0137999999999998</v>
      </c>
      <c r="I5" s="345">
        <f t="shared" si="3"/>
        <v>2.333785604212458E-5</v>
      </c>
    </row>
    <row r="6" spans="1:9" x14ac:dyDescent="0.15">
      <c r="A6" s="105" t="s">
        <v>335</v>
      </c>
      <c r="B6" s="102">
        <f>108711499.27/10000</f>
        <v>10871.149927</v>
      </c>
      <c r="C6" s="338">
        <f t="shared" si="0"/>
        <v>0.12204525111353046</v>
      </c>
      <c r="D6" s="102">
        <f>61305264.87/10000</f>
        <v>6130.5264870000001</v>
      </c>
      <c r="E6" s="338">
        <f t="shared" si="1"/>
        <v>5.2877771875806993E-2</v>
      </c>
      <c r="F6" s="106">
        <f>28392527.95/10000</f>
        <v>2839.2527949999999</v>
      </c>
      <c r="G6" s="338">
        <f t="shared" si="2"/>
        <v>2.4298423190704736E-2</v>
      </c>
      <c r="H6" s="104">
        <f>55690615.26/10000</f>
        <v>5569.0615259999995</v>
      </c>
      <c r="I6" s="345">
        <f t="shared" si="3"/>
        <v>2.5922445287710448E-2</v>
      </c>
    </row>
    <row r="7" spans="1:9" x14ac:dyDescent="0.15">
      <c r="A7" s="105" t="s">
        <v>336</v>
      </c>
      <c r="B7" s="102"/>
      <c r="C7" s="338">
        <f t="shared" si="0"/>
        <v>0</v>
      </c>
      <c r="D7" s="102"/>
      <c r="E7" s="338">
        <f t="shared" si="1"/>
        <v>0</v>
      </c>
      <c r="F7" s="106"/>
      <c r="G7" s="338">
        <f t="shared" si="2"/>
        <v>0</v>
      </c>
      <c r="H7" s="104"/>
      <c r="I7" s="345">
        <f t="shared" si="3"/>
        <v>0</v>
      </c>
    </row>
    <row r="8" spans="1:9" x14ac:dyDescent="0.15">
      <c r="A8" s="105" t="s">
        <v>337</v>
      </c>
      <c r="B8" s="108"/>
      <c r="C8" s="338">
        <f t="shared" si="0"/>
        <v>0</v>
      </c>
      <c r="D8" s="108"/>
      <c r="E8" s="338">
        <f t="shared" si="1"/>
        <v>0</v>
      </c>
      <c r="F8" s="109"/>
      <c r="G8" s="338">
        <f t="shared" si="2"/>
        <v>0</v>
      </c>
      <c r="H8" s="104">
        <f>102515009.27/10000</f>
        <v>10251.500926999999</v>
      </c>
      <c r="I8" s="345">
        <f t="shared" si="3"/>
        <v>4.7717909140777989E-2</v>
      </c>
    </row>
    <row r="9" spans="1:9" x14ac:dyDescent="0.15">
      <c r="A9" s="105" t="s">
        <v>338</v>
      </c>
      <c r="B9" s="102"/>
      <c r="C9" s="338">
        <f t="shared" si="0"/>
        <v>0</v>
      </c>
      <c r="D9" s="102"/>
      <c r="E9" s="338">
        <f t="shared" si="1"/>
        <v>0</v>
      </c>
      <c r="F9" s="106"/>
      <c r="G9" s="338">
        <f t="shared" si="2"/>
        <v>0</v>
      </c>
      <c r="H9" s="104"/>
      <c r="I9" s="345">
        <f t="shared" si="3"/>
        <v>0</v>
      </c>
    </row>
    <row r="10" spans="1:9" x14ac:dyDescent="0.15">
      <c r="A10" s="105" t="s">
        <v>339</v>
      </c>
      <c r="B10" s="102"/>
      <c r="C10" s="338">
        <f t="shared" si="0"/>
        <v>0</v>
      </c>
      <c r="D10" s="102"/>
      <c r="E10" s="338">
        <f t="shared" si="1"/>
        <v>0</v>
      </c>
      <c r="F10" s="106"/>
      <c r="G10" s="338">
        <f t="shared" si="2"/>
        <v>0</v>
      </c>
      <c r="H10" s="104"/>
      <c r="I10" s="345">
        <f t="shared" si="3"/>
        <v>0</v>
      </c>
    </row>
    <row r="11" spans="1:9" x14ac:dyDescent="0.15">
      <c r="A11" s="105" t="s">
        <v>340</v>
      </c>
      <c r="B11" s="102"/>
      <c r="C11" s="338">
        <f t="shared" si="0"/>
        <v>0</v>
      </c>
      <c r="D11" s="102"/>
      <c r="E11" s="338">
        <f t="shared" si="1"/>
        <v>0</v>
      </c>
      <c r="F11" s="106"/>
      <c r="G11" s="338">
        <f t="shared" si="2"/>
        <v>0</v>
      </c>
      <c r="H11" s="104"/>
      <c r="I11" s="345">
        <f t="shared" si="3"/>
        <v>0</v>
      </c>
    </row>
    <row r="12" spans="1:9" x14ac:dyDescent="0.15">
      <c r="A12" s="105" t="s">
        <v>341</v>
      </c>
      <c r="B12" s="102"/>
      <c r="C12" s="338">
        <f t="shared" si="0"/>
        <v>0</v>
      </c>
      <c r="D12" s="102"/>
      <c r="E12" s="338">
        <f t="shared" si="1"/>
        <v>0</v>
      </c>
      <c r="F12" s="106"/>
      <c r="G12" s="338">
        <f t="shared" si="2"/>
        <v>0</v>
      </c>
      <c r="H12" s="104"/>
      <c r="I12" s="345">
        <f t="shared" si="3"/>
        <v>0</v>
      </c>
    </row>
    <row r="13" spans="1:9" x14ac:dyDescent="0.15">
      <c r="A13" s="105" t="s">
        <v>99</v>
      </c>
      <c r="B13" s="102">
        <f>500000/10000</f>
        <v>50</v>
      </c>
      <c r="C13" s="338">
        <f t="shared" si="0"/>
        <v>5.6132631751501397E-4</v>
      </c>
      <c r="D13" s="102">
        <f>500000/10000</f>
        <v>50</v>
      </c>
      <c r="E13" s="338">
        <f t="shared" si="1"/>
        <v>4.312661562423406E-4</v>
      </c>
      <c r="F13" s="106">
        <f>500000/10000</f>
        <v>50</v>
      </c>
      <c r="G13" s="338">
        <f t="shared" si="2"/>
        <v>4.2790172177509006E-4</v>
      </c>
      <c r="H13" s="104">
        <f>500000/10000</f>
        <v>50</v>
      </c>
      <c r="I13" s="345">
        <f t="shared" si="3"/>
        <v>2.3273620848582495E-4</v>
      </c>
    </row>
    <row r="14" spans="1:9" x14ac:dyDescent="0.15">
      <c r="A14" s="105" t="s">
        <v>100</v>
      </c>
      <c r="B14" s="102">
        <f>479104531.53/10000</f>
        <v>47910.453152999995</v>
      </c>
      <c r="C14" s="338">
        <f t="shared" si="0"/>
        <v>0.53786796477698151</v>
      </c>
      <c r="D14" s="108">
        <f>548015170.93/10000</f>
        <v>54801.517092999995</v>
      </c>
      <c r="E14" s="338">
        <f t="shared" si="1"/>
        <v>0.4726807926589407</v>
      </c>
      <c r="F14" s="109">
        <f>562218140.81/10000</f>
        <v>56221.814080999997</v>
      </c>
      <c r="G14" s="338">
        <f t="shared" si="2"/>
        <v>0.48114822093157805</v>
      </c>
      <c r="H14" s="26">
        <f>1578966891.26/10000</f>
        <v>157896.68912600001</v>
      </c>
      <c r="I14" s="345">
        <f t="shared" si="3"/>
        <v>0.73496553519300456</v>
      </c>
    </row>
    <row r="15" spans="1:9" x14ac:dyDescent="0.15">
      <c r="A15" s="105" t="s">
        <v>342</v>
      </c>
      <c r="B15" s="102">
        <v>0</v>
      </c>
      <c r="C15" s="338">
        <f t="shared" si="0"/>
        <v>0</v>
      </c>
      <c r="D15" s="102">
        <v>0</v>
      </c>
      <c r="E15" s="338">
        <f t="shared" si="1"/>
        <v>0</v>
      </c>
      <c r="F15" s="106">
        <v>0</v>
      </c>
      <c r="G15" s="338">
        <f t="shared" si="2"/>
        <v>0</v>
      </c>
      <c r="H15" s="104">
        <v>0</v>
      </c>
      <c r="I15" s="345">
        <f t="shared" si="3"/>
        <v>0</v>
      </c>
    </row>
    <row r="16" spans="1:9" x14ac:dyDescent="0.15">
      <c r="A16" s="105" t="s">
        <v>343</v>
      </c>
      <c r="B16" s="102">
        <f>B14</f>
        <v>47910.453152999995</v>
      </c>
      <c r="C16" s="338">
        <f t="shared" si="0"/>
        <v>0.53786796477698151</v>
      </c>
      <c r="D16" s="102">
        <f>D14-D15</f>
        <v>54801.517092999995</v>
      </c>
      <c r="E16" s="338">
        <f t="shared" si="1"/>
        <v>0.4726807926589407</v>
      </c>
      <c r="F16" s="106">
        <f>F14</f>
        <v>56221.814080999997</v>
      </c>
      <c r="G16" s="338">
        <f t="shared" si="2"/>
        <v>0.48114822093157805</v>
      </c>
      <c r="H16" s="104">
        <f>H14</f>
        <v>157896.68912600001</v>
      </c>
      <c r="I16" s="345">
        <f t="shared" si="3"/>
        <v>0.73496553519300456</v>
      </c>
    </row>
    <row r="17" spans="1:9" x14ac:dyDescent="0.15">
      <c r="A17" s="105" t="s">
        <v>344</v>
      </c>
      <c r="B17" s="102">
        <v>0</v>
      </c>
      <c r="C17" s="338">
        <f t="shared" si="0"/>
        <v>0</v>
      </c>
      <c r="D17" s="102">
        <v>0</v>
      </c>
      <c r="E17" s="338">
        <f t="shared" si="1"/>
        <v>0</v>
      </c>
      <c r="F17" s="106">
        <v>0</v>
      </c>
      <c r="G17" s="338">
        <f t="shared" si="2"/>
        <v>0</v>
      </c>
      <c r="H17" s="104"/>
      <c r="I17" s="345">
        <f t="shared" si="3"/>
        <v>0</v>
      </c>
    </row>
    <row r="18" spans="1:9" x14ac:dyDescent="0.15">
      <c r="A18" s="105" t="s">
        <v>101</v>
      </c>
      <c r="B18" s="102">
        <v>0</v>
      </c>
      <c r="C18" s="338">
        <f t="shared" si="0"/>
        <v>0</v>
      </c>
      <c r="D18" s="102"/>
      <c r="E18" s="338">
        <f t="shared" si="1"/>
        <v>0</v>
      </c>
      <c r="F18" s="106"/>
      <c r="G18" s="338">
        <f t="shared" si="2"/>
        <v>0</v>
      </c>
      <c r="H18" s="104"/>
      <c r="I18" s="345">
        <f t="shared" si="3"/>
        <v>0</v>
      </c>
    </row>
    <row r="19" spans="1:9" ht="24" x14ac:dyDescent="0.15">
      <c r="A19" s="105" t="s">
        <v>345</v>
      </c>
      <c r="B19" s="102"/>
      <c r="C19" s="338">
        <f t="shared" si="0"/>
        <v>0</v>
      </c>
      <c r="D19" s="102">
        <f>422573783.5/10000</f>
        <v>42257.378349999999</v>
      </c>
      <c r="E19" s="338">
        <f t="shared" si="1"/>
        <v>0.36448354267765604</v>
      </c>
      <c r="F19" s="106">
        <f>399258602.69/10000</f>
        <v>39925.860268999997</v>
      </c>
      <c r="G19" s="338">
        <f t="shared" si="2"/>
        <v>0.34168688704913519</v>
      </c>
      <c r="H19" s="104">
        <f>410632358.32/10000</f>
        <v>41063.235831999998</v>
      </c>
      <c r="I19" s="345">
        <f t="shared" si="3"/>
        <v>0.19113803631397899</v>
      </c>
    </row>
    <row r="20" spans="1:9" x14ac:dyDescent="0.15">
      <c r="A20" s="110" t="s">
        <v>346</v>
      </c>
      <c r="B20" s="102">
        <f>SUM(B22:B30)</f>
        <v>42834.225742999995</v>
      </c>
      <c r="C20" s="338">
        <f t="shared" si="0"/>
        <v>0.48087956399850001</v>
      </c>
      <c r="D20" s="102">
        <f>SUM(D22:D27)</f>
        <v>57813.494127999998</v>
      </c>
      <c r="E20" s="338">
        <f t="shared" si="1"/>
        <v>0.49866006783043376</v>
      </c>
      <c r="F20" s="106">
        <f>SUM(F22:F27)</f>
        <v>55840.156367000003</v>
      </c>
      <c r="G20" s="338">
        <f t="shared" si="2"/>
        <v>0.47788198107259117</v>
      </c>
      <c r="H20" s="104">
        <f>SUM(H21:H30)</f>
        <v>53394.432732000001</v>
      </c>
      <c r="I20" s="345">
        <f t="shared" si="3"/>
        <v>0.24853635656594217</v>
      </c>
    </row>
    <row r="21" spans="1:9" x14ac:dyDescent="0.15">
      <c r="A21" s="111" t="s">
        <v>347</v>
      </c>
      <c r="B21" s="112">
        <f>30000000/10000</f>
        <v>3000</v>
      </c>
      <c r="C21" s="338">
        <f t="shared" si="0"/>
        <v>3.367957905090084E-2</v>
      </c>
      <c r="D21" s="113">
        <f>401762400/10000</f>
        <v>40176.239999999998</v>
      </c>
      <c r="E21" s="338">
        <f t="shared" si="1"/>
        <v>0.3465330519413955</v>
      </c>
      <c r="F21" s="114">
        <f>393251800/10000</f>
        <v>39325.18</v>
      </c>
      <c r="G21" s="338">
        <f t="shared" si="2"/>
        <v>0.33654624462230676</v>
      </c>
      <c r="H21" s="113">
        <f>453289700/10000</f>
        <v>45328.97</v>
      </c>
      <c r="I21" s="345">
        <f t="shared" si="3"/>
        <v>0.21099385224735409</v>
      </c>
    </row>
    <row r="22" spans="1:9" x14ac:dyDescent="0.15">
      <c r="A22" s="105" t="s">
        <v>348</v>
      </c>
      <c r="B22" s="102">
        <f>B21</f>
        <v>3000</v>
      </c>
      <c r="C22" s="338">
        <f t="shared" si="0"/>
        <v>3.367957905090084E-2</v>
      </c>
      <c r="D22" s="104">
        <f>D21</f>
        <v>40176.239999999998</v>
      </c>
      <c r="E22" s="338">
        <f t="shared" si="1"/>
        <v>0.3465330519413955</v>
      </c>
      <c r="F22" s="106">
        <f>F21</f>
        <v>39325.18</v>
      </c>
      <c r="G22" s="338">
        <f t="shared" si="2"/>
        <v>0.33654624462230676</v>
      </c>
      <c r="H22" s="104"/>
      <c r="I22" s="345">
        <f t="shared" si="3"/>
        <v>0</v>
      </c>
    </row>
    <row r="23" spans="1:9" x14ac:dyDescent="0.15">
      <c r="A23" s="105" t="s">
        <v>349</v>
      </c>
      <c r="B23" s="102">
        <v>0</v>
      </c>
      <c r="C23" s="338">
        <f t="shared" si="0"/>
        <v>0</v>
      </c>
      <c r="D23" s="104">
        <v>0</v>
      </c>
      <c r="E23" s="338">
        <f t="shared" si="1"/>
        <v>0</v>
      </c>
      <c r="F23" s="106"/>
      <c r="G23" s="338">
        <f t="shared" si="2"/>
        <v>0</v>
      </c>
      <c r="H23" s="104"/>
      <c r="I23" s="345">
        <f t="shared" si="3"/>
        <v>0</v>
      </c>
    </row>
    <row r="24" spans="1:9" x14ac:dyDescent="0.15">
      <c r="A24" s="111" t="s">
        <v>350</v>
      </c>
      <c r="B24" s="112">
        <f>30552983.54/10000</f>
        <v>3055.298354</v>
      </c>
      <c r="C24" s="338">
        <f t="shared" si="0"/>
        <v>3.4300387479210069E-2</v>
      </c>
      <c r="D24" s="113">
        <f>86544277/10000</f>
        <v>8654.4277000000002</v>
      </c>
      <c r="E24" s="338">
        <f t="shared" si="1"/>
        <v>7.4647235373124815E-2</v>
      </c>
      <c r="F24" s="114">
        <f>79419195.55/10000</f>
        <v>7941.9195549999995</v>
      </c>
      <c r="G24" s="338">
        <f t="shared" si="2"/>
        <v>6.7967221035675138E-2</v>
      </c>
      <c r="H24" s="113">
        <f>59516064.1/10000</f>
        <v>5951.6064100000003</v>
      </c>
      <c r="I24" s="345">
        <f t="shared" si="3"/>
        <v>2.7703086205266646E-2</v>
      </c>
    </row>
    <row r="25" spans="1:9" x14ac:dyDescent="0.15">
      <c r="A25" s="105" t="s">
        <v>351</v>
      </c>
      <c r="B25" s="108">
        <v>0</v>
      </c>
      <c r="C25" s="338">
        <f t="shared" si="0"/>
        <v>0</v>
      </c>
      <c r="D25" s="104">
        <v>0</v>
      </c>
      <c r="E25" s="338">
        <f t="shared" si="1"/>
        <v>0</v>
      </c>
      <c r="F25" s="106"/>
      <c r="G25" s="338">
        <f t="shared" si="2"/>
        <v>0</v>
      </c>
      <c r="H25" s="104"/>
      <c r="I25" s="345">
        <f t="shared" si="3"/>
        <v>0</v>
      </c>
    </row>
    <row r="26" spans="1:9" x14ac:dyDescent="0.15">
      <c r="A26" s="111" t="s">
        <v>352</v>
      </c>
      <c r="B26" s="112">
        <f>367789273.89/10000</f>
        <v>36778.927388999997</v>
      </c>
      <c r="C26" s="338">
        <f t="shared" si="0"/>
        <v>0.41289959746838911</v>
      </c>
      <c r="D26" s="113">
        <f>89828264.28/10000</f>
        <v>8982.8264280000003</v>
      </c>
      <c r="E26" s="338">
        <f t="shared" si="1"/>
        <v>7.7479780515913491E-2</v>
      </c>
      <c r="F26" s="114">
        <f>(73006802.69+12723765.43)/10000</f>
        <v>8573.0568120000007</v>
      </c>
      <c r="G26" s="338">
        <f t="shared" si="2"/>
        <v>7.33685154146093E-2</v>
      </c>
      <c r="H26" s="113"/>
      <c r="I26" s="345">
        <f t="shared" si="3"/>
        <v>0</v>
      </c>
    </row>
    <row r="27" spans="1:9" x14ac:dyDescent="0.15">
      <c r="A27" s="105" t="s">
        <v>102</v>
      </c>
      <c r="B27" s="108">
        <v>0</v>
      </c>
      <c r="C27" s="338">
        <f t="shared" si="0"/>
        <v>0</v>
      </c>
      <c r="D27" s="104">
        <v>0</v>
      </c>
      <c r="E27" s="338">
        <f t="shared" si="1"/>
        <v>0</v>
      </c>
      <c r="F27" s="106"/>
      <c r="G27" s="338">
        <f t="shared" si="2"/>
        <v>0</v>
      </c>
      <c r="H27" s="104"/>
      <c r="I27" s="345">
        <f t="shared" si="3"/>
        <v>0</v>
      </c>
    </row>
    <row r="28" spans="1:9" x14ac:dyDescent="0.15">
      <c r="A28" s="105" t="s">
        <v>103</v>
      </c>
      <c r="B28" s="102">
        <v>0</v>
      </c>
      <c r="C28" s="338">
        <f t="shared" si="0"/>
        <v>0</v>
      </c>
      <c r="D28" s="104">
        <v>0</v>
      </c>
      <c r="E28" s="338">
        <f t="shared" si="1"/>
        <v>0</v>
      </c>
      <c r="F28" s="106">
        <v>0</v>
      </c>
      <c r="G28" s="338">
        <f t="shared" si="2"/>
        <v>0</v>
      </c>
      <c r="H28" s="104">
        <f>7701772/10000</f>
        <v>770.17719999999997</v>
      </c>
      <c r="I28" s="345">
        <f t="shared" si="3"/>
        <v>3.5849624278045779E-3</v>
      </c>
    </row>
    <row r="29" spans="1:9" x14ac:dyDescent="0.15">
      <c r="A29" s="105" t="s">
        <v>353</v>
      </c>
      <c r="B29" s="102">
        <v>0</v>
      </c>
      <c r="C29" s="338">
        <f t="shared" si="0"/>
        <v>0</v>
      </c>
      <c r="D29" s="104">
        <v>0</v>
      </c>
      <c r="E29" s="338">
        <f t="shared" si="1"/>
        <v>0</v>
      </c>
      <c r="F29" s="106">
        <v>0</v>
      </c>
      <c r="G29" s="338">
        <f t="shared" si="2"/>
        <v>0</v>
      </c>
      <c r="H29" s="104">
        <f>1672298.15/10000</f>
        <v>167.229815</v>
      </c>
      <c r="I29" s="345">
        <f t="shared" si="3"/>
        <v>7.7840866177771874E-4</v>
      </c>
    </row>
    <row r="30" spans="1:9" x14ac:dyDescent="0.15">
      <c r="A30" s="105" t="s">
        <v>18</v>
      </c>
      <c r="B30" s="102">
        <v>0</v>
      </c>
      <c r="C30" s="338">
        <f>B30/B$3</f>
        <v>0</v>
      </c>
      <c r="D30" s="104">
        <v>0</v>
      </c>
      <c r="E30" s="338">
        <f t="shared" si="1"/>
        <v>0</v>
      </c>
      <c r="F30" s="106">
        <v>0</v>
      </c>
      <c r="G30" s="338">
        <f t="shared" si="2"/>
        <v>0</v>
      </c>
      <c r="H30" s="104">
        <f>11764493.07/10000</f>
        <v>1176.4493070000001</v>
      </c>
      <c r="I30" s="345">
        <f t="shared" si="3"/>
        <v>5.4760470237391256E-3</v>
      </c>
    </row>
    <row r="31" spans="1:9" x14ac:dyDescent="0.15">
      <c r="A31" s="110" t="s">
        <v>354</v>
      </c>
      <c r="B31" s="102">
        <f>B20</f>
        <v>42834.225742999995</v>
      </c>
      <c r="C31" s="338">
        <f t="shared" si="0"/>
        <v>0.48087956399850001</v>
      </c>
      <c r="D31" s="102">
        <f>D20</f>
        <v>57813.494127999998</v>
      </c>
      <c r="E31" s="338">
        <f t="shared" si="1"/>
        <v>0.49866006783043376</v>
      </c>
      <c r="F31" s="106">
        <f>F20</f>
        <v>55840.156367000003</v>
      </c>
      <c r="G31" s="338">
        <f t="shared" si="2"/>
        <v>0.47788198107259117</v>
      </c>
      <c r="H31" s="104">
        <f>H20</f>
        <v>53394.432732000001</v>
      </c>
      <c r="I31" s="345">
        <f t="shared" si="3"/>
        <v>0.24853635656594217</v>
      </c>
    </row>
    <row r="32" spans="1:9" x14ac:dyDescent="0.15">
      <c r="A32" s="110" t="s">
        <v>355</v>
      </c>
      <c r="B32" s="104">
        <f>SUM(B33:B38)-B34</f>
        <v>49240.521760999996</v>
      </c>
      <c r="C32" s="338">
        <f t="shared" si="0"/>
        <v>0.55280001505240073</v>
      </c>
      <c r="D32" s="104">
        <f>SUM(D33:D38)-D34</f>
        <v>58124.191396999988</v>
      </c>
      <c r="E32" s="338">
        <f t="shared" si="1"/>
        <v>0.50133993216956618</v>
      </c>
      <c r="F32" s="106">
        <f>SUM(F33:F38)-F34</f>
        <v>61009.10470299999</v>
      </c>
      <c r="G32" s="338">
        <f t="shared" si="2"/>
        <v>0.52211801892740883</v>
      </c>
      <c r="H32" s="104">
        <f>SUM(H33:H37)-H34</f>
        <v>0</v>
      </c>
      <c r="I32" s="345">
        <f t="shared" si="3"/>
        <v>0</v>
      </c>
    </row>
    <row r="33" spans="1:9" x14ac:dyDescent="0.15">
      <c r="A33" s="105" t="s">
        <v>104</v>
      </c>
      <c r="B33" s="102">
        <f>6393889.95/10000</f>
        <v>639.38899500000002</v>
      </c>
      <c r="C33" s="338">
        <f t="shared" si="0"/>
        <v>7.178117400459514E-3</v>
      </c>
      <c r="D33" s="104">
        <f>26402889.95/10000</f>
        <v>2640.2889949999999</v>
      </c>
      <c r="E33" s="338">
        <f t="shared" si="1"/>
        <v>2.277334572485205E-2</v>
      </c>
      <c r="F33" s="106">
        <f>38930890.29/10000</f>
        <v>3893.0890289999998</v>
      </c>
      <c r="G33" s="338">
        <f t="shared" si="2"/>
        <v>3.3317189970656268E-2</v>
      </c>
      <c r="H33" s="104"/>
      <c r="I33" s="345">
        <f t="shared" si="3"/>
        <v>0</v>
      </c>
    </row>
    <row r="34" spans="1:9" x14ac:dyDescent="0.15">
      <c r="A34" s="105" t="s">
        <v>403</v>
      </c>
      <c r="B34" s="102">
        <f>B33</f>
        <v>639.38899500000002</v>
      </c>
      <c r="C34" s="338">
        <f t="shared" si="0"/>
        <v>7.178117400459514E-3</v>
      </c>
      <c r="D34" s="104">
        <f>D33</f>
        <v>2640.2889949999999</v>
      </c>
      <c r="E34" s="338">
        <f t="shared" si="1"/>
        <v>2.277334572485205E-2</v>
      </c>
      <c r="F34" s="106">
        <f>F33</f>
        <v>3893.0890289999998</v>
      </c>
      <c r="G34" s="338">
        <f t="shared" si="2"/>
        <v>3.3317189970656268E-2</v>
      </c>
      <c r="H34" s="104"/>
      <c r="I34" s="345">
        <f t="shared" si="3"/>
        <v>0</v>
      </c>
    </row>
    <row r="35" spans="1:9" ht="12.75" x14ac:dyDescent="0.2">
      <c r="A35" s="115" t="s">
        <v>574</v>
      </c>
      <c r="B35" s="102"/>
      <c r="C35" s="338">
        <f t="shared" si="0"/>
        <v>0</v>
      </c>
      <c r="D35" s="104"/>
      <c r="E35" s="338">
        <f t="shared" si="1"/>
        <v>0</v>
      </c>
      <c r="F35" s="106">
        <v>0</v>
      </c>
      <c r="G35" s="338">
        <f t="shared" si="2"/>
        <v>0</v>
      </c>
      <c r="H35" s="104"/>
      <c r="I35" s="345">
        <f t="shared" si="3"/>
        <v>0</v>
      </c>
    </row>
    <row r="36" spans="1:9" x14ac:dyDescent="0.15">
      <c r="A36" s="105" t="s">
        <v>575</v>
      </c>
      <c r="B36" s="102">
        <f>B16</f>
        <v>47910.453152999995</v>
      </c>
      <c r="C36" s="338">
        <f t="shared" si="0"/>
        <v>0.53786796477698151</v>
      </c>
      <c r="D36" s="104">
        <f>D16</f>
        <v>54801.517092999995</v>
      </c>
      <c r="E36" s="338">
        <f t="shared" si="1"/>
        <v>0.4726807926589407</v>
      </c>
      <c r="F36" s="106">
        <f>F16</f>
        <v>56221.814080999997</v>
      </c>
      <c r="G36" s="338">
        <f t="shared" si="2"/>
        <v>0.48114822093157805</v>
      </c>
      <c r="H36" s="104"/>
      <c r="I36" s="345">
        <f t="shared" si="3"/>
        <v>0</v>
      </c>
    </row>
    <row r="37" spans="1:9" x14ac:dyDescent="0.15">
      <c r="A37" s="105" t="s">
        <v>576</v>
      </c>
      <c r="B37" s="102">
        <f>6906796.13/10000</f>
        <v>690.67961300000002</v>
      </c>
      <c r="C37" s="338">
        <f t="shared" si="0"/>
        <v>7.7539328749596991E-3</v>
      </c>
      <c r="D37" s="104">
        <f>6823853.09/10000</f>
        <v>682.38530900000001</v>
      </c>
      <c r="E37" s="338">
        <f t="shared" si="1"/>
        <v>5.8857937857734379E-3</v>
      </c>
      <c r="F37" s="106">
        <f>8942015.93/10000</f>
        <v>894.201593</v>
      </c>
      <c r="G37" s="338">
        <f t="shared" si="2"/>
        <v>7.6526080251745664E-3</v>
      </c>
      <c r="H37" s="104"/>
      <c r="I37" s="345">
        <f t="shared" si="3"/>
        <v>0</v>
      </c>
    </row>
    <row r="38" spans="1:9" x14ac:dyDescent="0.15">
      <c r="A38" s="116" t="s">
        <v>577</v>
      </c>
      <c r="B38" s="117"/>
      <c r="C38" s="338">
        <f t="shared" si="0"/>
        <v>0</v>
      </c>
      <c r="D38" s="118"/>
      <c r="E38" s="338">
        <f t="shared" si="1"/>
        <v>0</v>
      </c>
      <c r="F38" s="119"/>
      <c r="G38" s="338">
        <f t="shared" si="2"/>
        <v>0</v>
      </c>
      <c r="H38" s="118"/>
      <c r="I38" s="345"/>
    </row>
    <row r="39" spans="1:9" x14ac:dyDescent="0.15">
      <c r="A39" s="340" t="s">
        <v>578</v>
      </c>
      <c r="B39" s="341"/>
      <c r="C39" s="342">
        <f t="shared" si="0"/>
        <v>0</v>
      </c>
      <c r="D39" s="343"/>
      <c r="E39" s="342">
        <f t="shared" si="1"/>
        <v>0</v>
      </c>
      <c r="F39" s="344"/>
      <c r="G39" s="342">
        <f t="shared" si="2"/>
        <v>0</v>
      </c>
      <c r="H39" s="343"/>
      <c r="I39" s="346"/>
    </row>
    <row r="40" spans="1:9" ht="12.75" thickBot="1" x14ac:dyDescent="0.2">
      <c r="A40" s="347" t="s">
        <v>579</v>
      </c>
      <c r="B40" s="348">
        <f>B20+B32</f>
        <v>92074.747503999999</v>
      </c>
      <c r="C40" s="349">
        <f t="shared" si="0"/>
        <v>1.0336795790509008</v>
      </c>
      <c r="D40" s="348">
        <f>D20+D32</f>
        <v>115937.68552499998</v>
      </c>
      <c r="E40" s="349">
        <f t="shared" si="1"/>
        <v>0.99999999999999989</v>
      </c>
      <c r="F40" s="350">
        <f>F20+F32</f>
        <v>116849.26106999999</v>
      </c>
      <c r="G40" s="349">
        <f t="shared" si="2"/>
        <v>1</v>
      </c>
      <c r="H40" s="351"/>
      <c r="I40" s="352">
        <f t="shared" si="3"/>
        <v>0</v>
      </c>
    </row>
  </sheetData>
  <phoneticPr fontId="2" type="noConversion"/>
  <pageMargins left="0.75" right="0.75" top="1" bottom="1" header="0.5" footer="0.5"/>
  <pageSetup paperSize="9" scale="60" orientation="landscape" r:id="rId1"/>
  <headerFooter alignWithMargins="0"/>
  <ignoredErrors>
    <ignoredError sqref="C3 E3 G3 C13 E13 C40 E40 C22 E22 E20 G16 G13 E31:E32 C31:C32 C34 C36 E36 E34 G31" formula="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506"/>
  <sheetViews>
    <sheetView workbookViewId="0">
      <selection activeCell="M13" sqref="M13"/>
    </sheetView>
  </sheetViews>
  <sheetFormatPr defaultColWidth="12.625" defaultRowHeight="12.75" x14ac:dyDescent="0.2"/>
  <cols>
    <col min="1" max="1" width="10.25" style="304" bestFit="1" customWidth="1"/>
    <col min="2" max="2" width="11.375" style="190" bestFit="1" customWidth="1"/>
    <col min="3" max="3" width="10.125" style="190" bestFit="1" customWidth="1"/>
    <col min="4" max="4" width="11.375" style="190" bestFit="1" customWidth="1"/>
    <col min="5" max="5" width="11" style="190" bestFit="1" customWidth="1"/>
    <col min="6" max="6" width="11.375" style="190" bestFit="1" customWidth="1"/>
    <col min="7" max="7" width="10.625" style="190" bestFit="1" customWidth="1"/>
    <col min="8" max="8" width="12.625" style="190" customWidth="1"/>
    <col min="9" max="10" width="12.625" style="189" hidden="1" customWidth="1"/>
    <col min="11" max="12" width="12.625" style="44" hidden="1" customWidth="1"/>
    <col min="13" max="14" width="12.625" style="44" customWidth="1"/>
    <col min="15" max="16" width="11.875" style="58" customWidth="1"/>
    <col min="17" max="17" width="11.875" style="44" customWidth="1"/>
    <col min="18" max="23" width="11" style="44" customWidth="1"/>
    <col min="24" max="24" width="10.25" style="58" customWidth="1"/>
    <col min="25" max="26" width="11" style="58" customWidth="1"/>
    <col min="27" max="27" width="10.125" style="58" customWidth="1"/>
    <col min="28" max="32" width="11" style="44" customWidth="1"/>
    <col min="33" max="33" width="16.625" style="44" customWidth="1"/>
    <col min="34" max="34" width="14.75" style="44" customWidth="1"/>
    <col min="35" max="36" width="11" style="44" customWidth="1"/>
    <col min="37" max="16384" width="12.625" style="190"/>
  </cols>
  <sheetData>
    <row r="1" spans="1:36" s="164" customFormat="1" ht="22.5" x14ac:dyDescent="0.4">
      <c r="A1" s="303"/>
      <c r="B1" s="632" t="s">
        <v>466</v>
      </c>
      <c r="C1" s="632"/>
      <c r="D1" s="632"/>
      <c r="E1" s="632"/>
      <c r="F1" s="632"/>
      <c r="G1" s="632"/>
      <c r="I1" s="165"/>
      <c r="J1" s="166"/>
      <c r="K1" s="42"/>
      <c r="L1" s="43"/>
      <c r="M1" s="45"/>
      <c r="N1" s="43"/>
      <c r="O1" s="43"/>
      <c r="P1" s="43"/>
      <c r="Q1" s="43"/>
      <c r="R1" s="43"/>
      <c r="S1" s="43"/>
      <c r="T1" s="43"/>
      <c r="U1" s="43"/>
      <c r="V1" s="43"/>
      <c r="W1" s="43"/>
      <c r="X1" s="43"/>
      <c r="Y1" s="43"/>
      <c r="Z1" s="43"/>
      <c r="AA1" s="43"/>
      <c r="AB1" s="43"/>
      <c r="AC1" s="43"/>
      <c r="AD1" s="43"/>
      <c r="AE1" s="43"/>
      <c r="AF1" s="43"/>
      <c r="AG1" s="42"/>
      <c r="AH1" s="43"/>
      <c r="AI1" s="43"/>
      <c r="AJ1" s="43"/>
    </row>
    <row r="2" spans="1:36" s="167" customFormat="1" x14ac:dyDescent="0.2">
      <c r="A2" s="304"/>
      <c r="B2" s="168" t="s">
        <v>467</v>
      </c>
      <c r="C2" s="169"/>
      <c r="D2" s="170"/>
      <c r="E2" s="170"/>
      <c r="F2" s="170"/>
      <c r="G2" s="170"/>
      <c r="I2" s="171"/>
      <c r="J2" s="172"/>
      <c r="K2" s="44"/>
      <c r="L2" s="45"/>
      <c r="M2" s="46"/>
      <c r="N2" s="46"/>
      <c r="O2" s="46"/>
      <c r="P2" s="46"/>
      <c r="Q2" s="46"/>
      <c r="R2" s="46"/>
      <c r="S2" s="46"/>
      <c r="T2" s="46"/>
      <c r="U2" s="46"/>
      <c r="V2" s="46"/>
      <c r="W2" s="57"/>
      <c r="X2" s="57"/>
      <c r="Y2" s="57"/>
      <c r="Z2" s="57"/>
      <c r="AA2" s="57"/>
      <c r="AB2" s="57"/>
      <c r="AC2" s="57"/>
      <c r="AD2" s="57"/>
      <c r="AE2" s="57"/>
      <c r="AF2" s="57"/>
      <c r="AG2" s="52"/>
      <c r="AH2" s="57"/>
      <c r="AI2" s="57"/>
      <c r="AJ2" s="57"/>
    </row>
    <row r="3" spans="1:36" s="167" customFormat="1" x14ac:dyDescent="0.2">
      <c r="A3" s="304"/>
      <c r="B3" s="310" t="s">
        <v>468</v>
      </c>
      <c r="C3" s="173"/>
      <c r="D3" s="316" t="s">
        <v>469</v>
      </c>
      <c r="E3" s="174"/>
      <c r="F3" s="316" t="s">
        <v>470</v>
      </c>
      <c r="G3" s="175">
        <f>(E$3+H$4)/(C$3+H$6)</f>
        <v>0.11215384615384616</v>
      </c>
      <c r="H3" s="331" t="s">
        <v>471</v>
      </c>
      <c r="I3" s="166" t="s">
        <v>472</v>
      </c>
      <c r="K3" s="633" t="s">
        <v>473</v>
      </c>
      <c r="L3" s="633"/>
      <c r="M3" s="633" t="s">
        <v>474</v>
      </c>
      <c r="N3" s="633"/>
      <c r="O3" s="46"/>
      <c r="P3" s="46"/>
      <c r="Q3" s="46"/>
      <c r="R3" s="46"/>
      <c r="S3" s="46"/>
      <c r="T3" s="46"/>
      <c r="U3" s="46"/>
      <c r="V3" s="46"/>
      <c r="W3" s="46"/>
      <c r="X3" s="46"/>
      <c r="Y3" s="46"/>
      <c r="Z3" s="46"/>
      <c r="AA3" s="46"/>
      <c r="AB3" s="46"/>
      <c r="AC3" s="46"/>
      <c r="AD3" s="46"/>
      <c r="AE3" s="46"/>
      <c r="AF3" s="46"/>
      <c r="AG3" s="58"/>
      <c r="AH3" s="46"/>
      <c r="AI3" s="46"/>
      <c r="AJ3" s="59"/>
    </row>
    <row r="4" spans="1:36" s="176" customFormat="1" ht="15" x14ac:dyDescent="0.2">
      <c r="A4" s="305"/>
      <c r="B4" s="311" t="s">
        <v>475</v>
      </c>
      <c r="C4" s="177"/>
      <c r="D4" s="317" t="s">
        <v>476</v>
      </c>
      <c r="E4" s="177"/>
      <c r="F4" s="317" t="s">
        <v>477</v>
      </c>
      <c r="G4" s="178">
        <f>(E$4+H$4)/(C$4+H$6)</f>
        <v>0.11215384615384616</v>
      </c>
      <c r="H4" s="179">
        <f>SUM(G$12:G$202)/2</f>
        <v>13522950</v>
      </c>
      <c r="I4" s="172">
        <f>SUM(L4,L7,L10,L13,L16,L19,L22,L25,L28,L31,L34)*10000</f>
        <v>7902103.8121546963</v>
      </c>
      <c r="K4" s="47" t="s">
        <v>478</v>
      </c>
      <c r="L4" s="48">
        <f>IF(SUM(O11:O133)&lt;0,0,SUM(O11:O133)/10000)</f>
        <v>0</v>
      </c>
      <c r="M4" s="47" t="s">
        <v>690</v>
      </c>
      <c r="N4" s="48">
        <f>IF(L4=0,0,L4+L7+L10+L13+L16+L19+L22+L25+L28+L31+L34)</f>
        <v>0</v>
      </c>
      <c r="O4" s="46"/>
      <c r="P4" s="46"/>
      <c r="Q4" s="46"/>
      <c r="R4" s="46"/>
      <c r="S4" s="46"/>
      <c r="T4" s="46"/>
      <c r="U4" s="46"/>
      <c r="V4" s="46"/>
      <c r="W4" s="59"/>
      <c r="X4" s="60"/>
      <c r="Y4" s="60"/>
      <c r="Z4" s="60"/>
      <c r="AA4" s="60"/>
      <c r="AB4" s="59"/>
      <c r="AC4" s="59"/>
      <c r="AD4" s="59"/>
      <c r="AE4" s="59"/>
      <c r="AF4" s="59"/>
      <c r="AG4" s="61"/>
      <c r="AH4" s="61"/>
      <c r="AI4" s="61"/>
      <c r="AJ4" s="62"/>
    </row>
    <row r="5" spans="1:36" s="164" customFormat="1" ht="15.75" x14ac:dyDescent="0.25">
      <c r="A5" s="305"/>
      <c r="B5" s="312" t="s">
        <v>446</v>
      </c>
      <c r="C5" s="180">
        <v>53000000</v>
      </c>
      <c r="D5" s="318" t="s">
        <v>447</v>
      </c>
      <c r="E5" s="181">
        <v>5</v>
      </c>
      <c r="F5" s="321" t="s">
        <v>448</v>
      </c>
      <c r="G5" s="182"/>
      <c r="H5" s="330" t="s">
        <v>449</v>
      </c>
      <c r="I5" s="183" t="s">
        <v>450</v>
      </c>
      <c r="J5" s="176"/>
      <c r="K5" s="47" t="s">
        <v>451</v>
      </c>
      <c r="L5" s="48">
        <f>IF(SUM(Z11:Z133)&lt;0,0,SUM(Z11:Z133)/10000)</f>
        <v>0</v>
      </c>
      <c r="M5" s="47" t="s">
        <v>452</v>
      </c>
      <c r="N5" s="48">
        <f>IF(L5=0,0,L5+L8+L11+L14+L17+L20+L23+L26+L29+L32+L35)</f>
        <v>0</v>
      </c>
      <c r="O5" s="61"/>
      <c r="P5" s="61"/>
      <c r="Q5" s="61"/>
      <c r="R5" s="61"/>
      <c r="S5" s="61"/>
      <c r="T5" s="61"/>
      <c r="U5" s="61"/>
      <c r="V5" s="61"/>
      <c r="W5" s="61"/>
      <c r="X5" s="61"/>
      <c r="Y5" s="61"/>
      <c r="Z5" s="61"/>
      <c r="AA5" s="61"/>
      <c r="AB5" s="61"/>
      <c r="AC5" s="61"/>
      <c r="AD5" s="61"/>
      <c r="AE5" s="61"/>
      <c r="AF5" s="61"/>
      <c r="AG5" s="61"/>
      <c r="AH5" s="61"/>
      <c r="AI5" s="61"/>
      <c r="AJ5" s="63"/>
    </row>
    <row r="6" spans="1:36" x14ac:dyDescent="0.2">
      <c r="A6" s="306"/>
      <c r="B6" s="313" t="s">
        <v>78</v>
      </c>
      <c r="C6" s="184"/>
      <c r="D6" s="319" t="s">
        <v>453</v>
      </c>
      <c r="E6" s="185">
        <v>6.2E-2</v>
      </c>
      <c r="F6" s="322" t="s">
        <v>454</v>
      </c>
      <c r="G6" s="186"/>
      <c r="H6" s="187">
        <f>((SUM(F$12:F$202)-C$8)/2-C$7*E$5*E$7)/E$7</f>
        <v>120575000</v>
      </c>
      <c r="I6" s="188">
        <f>SUM(J8:J134)</f>
        <v>120569917.80821919</v>
      </c>
      <c r="K6" s="49"/>
      <c r="L6" s="50">
        <f>IF(L5=0,0,L4/L5)</f>
        <v>0</v>
      </c>
      <c r="N6" s="50">
        <f>IF(N5=0,0,N4/N5)</f>
        <v>0</v>
      </c>
    </row>
    <row r="7" spans="1:36" x14ac:dyDescent="0.2">
      <c r="A7" s="306"/>
      <c r="B7" s="313" t="s">
        <v>479</v>
      </c>
      <c r="C7" s="184">
        <f>C5*11%</f>
        <v>5830000</v>
      </c>
      <c r="D7" s="319" t="s">
        <v>480</v>
      </c>
      <c r="E7" s="191">
        <v>2</v>
      </c>
      <c r="F7" s="322" t="s">
        <v>481</v>
      </c>
      <c r="G7" s="186">
        <f>C5*8%</f>
        <v>4240000</v>
      </c>
      <c r="H7" s="330" t="s">
        <v>482</v>
      </c>
      <c r="K7" s="47" t="s">
        <v>483</v>
      </c>
      <c r="L7" s="48">
        <f>IF(SUM(P11:P133)-L4&lt;0,0,SUM(P11:P133)/10000-L4)</f>
        <v>0</v>
      </c>
      <c r="M7" s="47" t="s">
        <v>691</v>
      </c>
      <c r="N7" s="48">
        <f>IF(L7=0,0,L7+L10+L13+L16+L19+L22+L25+L28+L31+L34)</f>
        <v>0</v>
      </c>
      <c r="W7" s="62"/>
    </row>
    <row r="8" spans="1:36" x14ac:dyDescent="0.2">
      <c r="A8" s="306"/>
      <c r="B8" s="314" t="s">
        <v>484</v>
      </c>
      <c r="C8" s="184"/>
      <c r="D8" s="319" t="s">
        <v>485</v>
      </c>
      <c r="E8" s="329">
        <f>ROUND((F$12-C$8)/(E$5*E$7),2)</f>
        <v>5300000</v>
      </c>
      <c r="F8" s="322" t="s">
        <v>486</v>
      </c>
      <c r="G8" s="186"/>
      <c r="H8" s="192">
        <f>H$4/H$6</f>
        <v>0.11215384615384616</v>
      </c>
      <c r="I8" s="193"/>
      <c r="K8" s="47" t="s">
        <v>487</v>
      </c>
      <c r="L8" s="48">
        <f>IF(SUM(AA11:AA133)-L5&lt;0,0,SUM(AA11:AA133)/10000-L5)</f>
        <v>0</v>
      </c>
      <c r="M8" s="47" t="s">
        <v>692</v>
      </c>
      <c r="N8" s="48">
        <f>IF(L8=0,0,L8+L11+L14+L17+L20+L23+L26+L29+L32+L35)</f>
        <v>0</v>
      </c>
      <c r="O8" s="64">
        <v>37621</v>
      </c>
      <c r="P8" s="64">
        <v>37986</v>
      </c>
      <c r="Q8" s="64">
        <v>38352</v>
      </c>
      <c r="R8" s="64">
        <v>38717</v>
      </c>
      <c r="S8" s="64">
        <v>39082</v>
      </c>
      <c r="T8" s="64">
        <v>39447</v>
      </c>
      <c r="U8" s="64">
        <v>39813</v>
      </c>
      <c r="V8" s="64">
        <v>40178</v>
      </c>
      <c r="W8" s="64">
        <v>40543</v>
      </c>
      <c r="X8" s="64">
        <v>40908</v>
      </c>
      <c r="Y8" s="64">
        <v>41274</v>
      </c>
      <c r="Z8" s="64"/>
      <c r="AA8" s="65"/>
      <c r="AB8" s="65"/>
      <c r="AC8" s="65"/>
      <c r="AD8" s="65"/>
      <c r="AE8" s="65"/>
      <c r="AF8" s="65"/>
      <c r="AG8" s="65"/>
      <c r="AH8" s="65"/>
      <c r="AI8" s="65"/>
      <c r="AJ8" s="65"/>
    </row>
    <row r="9" spans="1:36" x14ac:dyDescent="0.2">
      <c r="B9" s="314" t="s">
        <v>488</v>
      </c>
      <c r="C9" s="184"/>
      <c r="D9" s="319" t="s">
        <v>489</v>
      </c>
      <c r="E9" s="191"/>
      <c r="F9" s="322" t="s">
        <v>490</v>
      </c>
      <c r="G9" s="186"/>
      <c r="H9" s="330"/>
      <c r="I9" s="193"/>
      <c r="K9" s="49"/>
      <c r="L9" s="50">
        <f>IF(L8=0,0,L7/L8)</f>
        <v>0</v>
      </c>
      <c r="M9" s="49"/>
      <c r="N9" s="50">
        <f>IF(N8=0,0,N7/N8)</f>
        <v>0</v>
      </c>
      <c r="O9" s="66" t="s">
        <v>491</v>
      </c>
      <c r="P9" s="66" t="s">
        <v>492</v>
      </c>
      <c r="Q9" s="66" t="s">
        <v>493</v>
      </c>
      <c r="R9" s="66" t="s">
        <v>494</v>
      </c>
      <c r="S9" s="66" t="s">
        <v>495</v>
      </c>
      <c r="T9" s="66" t="s">
        <v>496</v>
      </c>
      <c r="U9" s="66" t="s">
        <v>497</v>
      </c>
      <c r="V9" s="66" t="s">
        <v>498</v>
      </c>
      <c r="W9" s="66" t="s">
        <v>499</v>
      </c>
      <c r="X9" s="66" t="s">
        <v>500</v>
      </c>
      <c r="Y9" s="66" t="s">
        <v>501</v>
      </c>
      <c r="Z9" s="66" t="s">
        <v>502</v>
      </c>
      <c r="AA9" s="66" t="s">
        <v>503</v>
      </c>
      <c r="AB9" s="66" t="s">
        <v>504</v>
      </c>
      <c r="AC9" s="66" t="s">
        <v>505</v>
      </c>
      <c r="AD9" s="66" t="s">
        <v>506</v>
      </c>
      <c r="AE9" s="66" t="s">
        <v>507</v>
      </c>
      <c r="AF9" s="66" t="s">
        <v>508</v>
      </c>
      <c r="AG9" s="66" t="s">
        <v>509</v>
      </c>
      <c r="AH9" s="66" t="s">
        <v>510</v>
      </c>
      <c r="AI9" s="66" t="s">
        <v>511</v>
      </c>
      <c r="AJ9" s="66" t="s">
        <v>512</v>
      </c>
    </row>
    <row r="10" spans="1:36" x14ac:dyDescent="0.2">
      <c r="B10" s="315" t="s">
        <v>455</v>
      </c>
      <c r="C10" s="194"/>
      <c r="D10" s="320"/>
      <c r="E10" s="195"/>
      <c r="F10" s="323" t="s">
        <v>456</v>
      </c>
      <c r="G10" s="196"/>
      <c r="H10" s="197"/>
      <c r="I10" s="193"/>
      <c r="K10" s="47" t="s">
        <v>457</v>
      </c>
      <c r="L10" s="48">
        <f>IF((SUM(Q11:Q133)-L7-L4)&lt;0,0,SUM(Q11:Q133)/10000-L7-L4)</f>
        <v>0</v>
      </c>
      <c r="M10" s="47" t="s">
        <v>693</v>
      </c>
      <c r="N10" s="48">
        <f>IF(L10=0,0,L10+L13+L16+L19+L22+L25+L28+L31+L34)</f>
        <v>0</v>
      </c>
      <c r="O10" s="67"/>
      <c r="P10" s="67"/>
      <c r="Q10" s="65"/>
      <c r="R10" s="67"/>
      <c r="S10" s="65"/>
      <c r="T10" s="65"/>
      <c r="U10" s="67"/>
      <c r="V10" s="68"/>
      <c r="W10" s="68"/>
      <c r="X10" s="68"/>
      <c r="Y10" s="68"/>
      <c r="Z10" s="68"/>
      <c r="AA10" s="68"/>
      <c r="AB10" s="65"/>
      <c r="AC10" s="65"/>
      <c r="AD10" s="65"/>
      <c r="AE10" s="65"/>
      <c r="AF10" s="67"/>
      <c r="AG10" s="68"/>
      <c r="AH10" s="68"/>
      <c r="AI10" s="68"/>
      <c r="AJ10" s="68"/>
    </row>
    <row r="11" spans="1:36" x14ac:dyDescent="0.2">
      <c r="B11" s="198" t="s">
        <v>157</v>
      </c>
      <c r="C11" s="198" t="s">
        <v>513</v>
      </c>
      <c r="D11" s="198" t="s">
        <v>514</v>
      </c>
      <c r="E11" s="198" t="s">
        <v>433</v>
      </c>
      <c r="F11" s="302" t="s">
        <v>434</v>
      </c>
      <c r="G11" s="302" t="s">
        <v>515</v>
      </c>
      <c r="H11" s="199" t="s">
        <v>516</v>
      </c>
      <c r="I11" s="200"/>
      <c r="K11" s="51" t="s">
        <v>517</v>
      </c>
      <c r="L11" s="48">
        <f>IF((SUM(AB11:AB133)-L8-L5)&lt;0,0,SUM(AB11:AB133)/10000-L8-L5)</f>
        <v>0</v>
      </c>
      <c r="M11" s="51" t="s">
        <v>518</v>
      </c>
      <c r="N11" s="48">
        <f>IF(L11=0,0,L11+L14+L17+L20+L23+L26+L29+L32+L35)</f>
        <v>0</v>
      </c>
      <c r="O11" s="69" t="str">
        <f>IF($A12="","",IF($A13="",IF(YEAR($A12)=2002,SUM($D$12:$D12),""),IF(AND(YEAR($A12)=2002,YEAR($A13)=2003),SUM($D$12:$D12,$D13*(O$8-$A12)/($A13-$A12)),"")))</f>
        <v/>
      </c>
      <c r="P11" s="69" t="str">
        <f>IF($A12="","",IF($A13="",IF(YEAR($A12)=2003,SUM($D$12:$D12),""),IF(AND(YEAR($A12)=2003,YEAR($A13)=2004),SUM($D$12:$D12,$D13*(P$8-$A12)/($A13-$A12)),"")))</f>
        <v/>
      </c>
      <c r="Q11" s="69" t="str">
        <f>IF(A12="","",IF(A13="",IF(YEAR(A12)=2004,SUM(D$12:D12),""),IF(AND(YEAR(A12)=2004,YEAR(A13)=2005),SUM(D$12:D12,D13*(Q$8-A12)/(A13-A12)),"")))</f>
        <v/>
      </c>
      <c r="R11" s="69" t="str">
        <f>IF(A12="","",IF(A13="",IF(YEAR(A12)=2005,SUM(D$12:D12),""),IF(AND(YEAR(A12)=2005,YEAR(A13)=2006),SUM(D$12:D12,D13*(R$8-A12)/(A13-A12)),"")))</f>
        <v/>
      </c>
      <c r="S11" s="69" t="str">
        <f>IF(A12="","",IF(A13="",IF(YEAR(A12)=2006,SUM(D$12:D12),""),IF(AND(YEAR(A12)=2006,YEAR(A13)=2007),SUM(D$12:D12,D13*(S$8-A12)/(A13-A12)),"")))</f>
        <v/>
      </c>
      <c r="T11" s="69" t="str">
        <f>IF(A12="","",IF(A13="",IF(YEAR(A12)=2007,SUM(D$12:D12),""),IF(AND(YEAR(A12)=2007,YEAR(A13)=2008),SUM(D$12:D12,D13*(T$8-A12)/(A13-A12)),"")))</f>
        <v/>
      </c>
      <c r="U11" s="69" t="str">
        <f>IF(A12="","",IF(A13="",IF(YEAR(A12)=2008,SUM(D$12:D12),""),IF(AND(YEAR(A12)=2008,YEAR(A13)=2009),SUM(D$12:D12,D13*(U$8-A12)/(A13-A12)),"")))</f>
        <v/>
      </c>
      <c r="V11" s="69">
        <f>IF(A12="","",IF(A13="",IF(YEAR(A12)=2009,SUM(D$12:D12),""),IF(AND(YEAR(A12)=2009,YEAR(A13)=2010),SUM(D$12:D12,D13*(V$8-A12)/(A13-A12)),"")))</f>
        <v>326784.53038674034</v>
      </c>
      <c r="W11" s="69" t="str">
        <f>IF(A12="","",IF(A13="",IF(YEAR(A12)=2010,SUM(D$12:D12),""),IF(AND(YEAR(A12)=2010,YEAR(A13)=2011),SUM(D$12:D12,D13*(W$8-A12)/(A13-A12)),"")))</f>
        <v/>
      </c>
      <c r="X11" s="69" t="str">
        <f>IF(A12="","",IF(A13="",IF(YEAR(A12)=2011,SUM(D$12:D12),""),IF(AND(YEAR(A12)=2011,YEAR(A13)=2012),SUM(D$12:D12,D13*(X$8-A12)/(A13-A12)),"")))</f>
        <v/>
      </c>
      <c r="Y11" s="70" t="str">
        <f>IF(A12="","",IF(A13="",IF(YEAR(A12)=2012,SUM(D$12:D12),""),IF(AND(YEAR(A12)=2012,YEAR(A13)=2013),SUM(D$12:D12,D13*(Y$8-A12)/(A13-A12)),"")))</f>
        <v/>
      </c>
      <c r="Z11" s="71" t="str">
        <f>IF($A12="","",IF($A13="",IF(YEAR($A12)=2002,SUM($J$12:$J12),""),IF(AND(YEAR($A12)=2002,YEAR($A13)=2003),SUM($J$12:$J12,$J13*(O$8-$A12)/($A13-$A12)),"")))</f>
        <v/>
      </c>
      <c r="AA11" s="71" t="str">
        <f>IF($A12="","",IF($A13="",IF(YEAR($A12)=2003,SUM($J$12:$J12),""),IF(AND(YEAR($A12)=2003,YEAR($A13)=2004),SUM($J$12:$J12,$J13*(P$8-$A12)/($A13-$A12)),"")))</f>
        <v/>
      </c>
      <c r="AB11" s="71" t="str">
        <f>IF($A12="","",IF($A13="",IF(YEAR($A12)=2004,SUM($J$12:$J12),""),IF(AND(YEAR($A12)=2004,YEAR($A13)=2005),SUM($J$12:$J12,$J13*(Q$8-$A12)/($A13-$A12)),"")))</f>
        <v/>
      </c>
      <c r="AC11" s="71" t="str">
        <f>IF($A12="","",IF($A13="",IF(YEAR($A12)=2005,SUM($J$12:$J12),""),IF(AND(YEAR($A12)=2005,YEAR($A13)=2006),SUM($J$12:$J12,$J13*(R$8-$A12)/($A13-$A12)),"")))</f>
        <v/>
      </c>
      <c r="AD11" s="71" t="str">
        <f>IF($A12="","",IF($A13="",IF(YEAR($A12)=2006,SUM($J$12:$J12),""),IF(AND(YEAR($A12)=2006,YEAR($A13)=2007),SUM($J$12:$J12,$J13*(S$8-$A12)/($A13-$A12)),"")))</f>
        <v/>
      </c>
      <c r="AE11" s="71" t="str">
        <f>IF($A12="","",IF($A13="",IF(YEAR($A12)=2007,SUM($J$12:$J12),""),IF(AND(YEAR($A12)=2007,YEAR($A13)=2008),SUM($J$12:$J12,$J13*(T$8-$A12)/($A13-$A12)),"")))</f>
        <v/>
      </c>
      <c r="AF11" s="71" t="str">
        <f>IF($A12="","",IF($A13="",IF(YEAR($A12)=2008,SUM($J$12:$J12),""),IF(AND(YEAR($A12)=2008,YEAR($A13)=2009),SUM($J$12:$J12,$J13*(U$8-$A12)/($A13-$A12)),"")))</f>
        <v/>
      </c>
      <c r="AG11" s="71">
        <f>IF($A12="","",IF($A13="",IF(YEAR($A12)=2009,SUM($J$12:$J12),""),IF(AND(YEAR($A12)=2009,YEAR($A13)=2010),SUM($J$12:$J12,$J13*(V$8-$A12)/($A13-$A12)),"")))</f>
        <v>4652383.5616438352</v>
      </c>
      <c r="AH11" s="71" t="str">
        <f>IF($A12="","",IF($A13="",IF(YEAR($A12)=2010,SUM($J$12:$J12),""),IF(AND(YEAR($A12)=2010,YEAR($A13)=2011),SUM($J$12:$J12,$J13*(W$8-$A12)/($A13-$A12)),"")))</f>
        <v/>
      </c>
      <c r="AI11" s="71" t="str">
        <f>IF($A12="","",IF($A13="",IF(YEAR($A12)=2011,SUM($J$12:$J12),""),IF(AND(YEAR($A12)=2011,YEAR($A13)=2012),SUM($J$12:$J12,$J13*(X$8-$A12)/($A13-$A12)),"")))</f>
        <v/>
      </c>
      <c r="AJ11" s="71" t="str">
        <f>IF($A12="","",IF($A13="",IF(YEAR($A12)=2012,SUM($J$12:$J12),""),IF(AND(YEAR($A12)=2012,YEAR($A13)=2013),SUM($J$12:$J12,$J13*(Y$8-$A12)/($A13-$A12)),"")))</f>
        <v/>
      </c>
    </row>
    <row r="12" spans="1:36" x14ac:dyDescent="0.2">
      <c r="A12" s="307">
        <v>40142</v>
      </c>
      <c r="B12" s="168" t="s">
        <v>435</v>
      </c>
      <c r="C12" s="201"/>
      <c r="D12" s="201"/>
      <c r="E12" s="201">
        <v>0</v>
      </c>
      <c r="F12" s="201">
        <f>C$5-C$6+E$9+C9</f>
        <v>53000000</v>
      </c>
      <c r="G12" s="201">
        <f>-C5+C7+G7*35%</f>
        <v>-45686000</v>
      </c>
      <c r="H12" s="201"/>
      <c r="I12" s="202">
        <f>IF(A13="","",F12-$C$7)</f>
        <v>47170000</v>
      </c>
      <c r="J12" s="202"/>
      <c r="L12" s="50">
        <f>IF(L11=0,0,L10/L11)</f>
        <v>0</v>
      </c>
      <c r="N12" s="50">
        <f>IF(N11=0,0,N10/N11)</f>
        <v>0</v>
      </c>
      <c r="O12" s="67" t="str">
        <f>IF($A13="","",IF($A14="",IF(YEAR($A13)=2002,SUM($D$12:$D13),""),IF(AND(YEAR($A13)=2002,YEAR($A14)=2003),SUM($D$12:$D13,$D14*(O$8-$A13)/($A14-$A13)),"")))</f>
        <v/>
      </c>
      <c r="P12" s="67" t="str">
        <f>IF($A13="","",IF($A14="",IF(YEAR($A13)=2003,SUM($D$12:$D13),""),IF(AND(YEAR($A13)=2003,YEAR($A14)=2004),SUM($D$12:$D13,$D14*(P$8-$A13)/($A14-$A13)),"")))</f>
        <v/>
      </c>
      <c r="Q12" s="67" t="str">
        <f>IF(A13="","",IF(A14="",IF(YEAR(A13)=2004,SUM(D$12:D13),""),IF(AND(YEAR(A13)=2004,YEAR(A14)=2005),SUM(D$12:D13,D14*(Q$8-A13)/(A14-A13)),"")))</f>
        <v/>
      </c>
      <c r="R12" s="67" t="str">
        <f>IF(A13="","",IF(A14="",IF(YEAR(A13)=2005,SUM(D$12:D13),""),IF(AND(YEAR(A13)=2005,YEAR(A14)=2006),SUM(D$12:D13,D14*(R$8-A13)/(A14-A13)),"")))</f>
        <v/>
      </c>
      <c r="S12" s="67" t="str">
        <f>IF(A13="","",IF(A14="",IF(YEAR(A13)=2006,SUM(D$12:D13),""),IF(AND(YEAR(A13)=2006,YEAR(A14)=2007),SUM(D$12:D13,D14*(S$8-A13)/(A14-A13)),"")))</f>
        <v/>
      </c>
      <c r="T12" s="67" t="str">
        <f>IF(A13="","",IF(A14="",IF(YEAR(A13)=2007,SUM(D$12:D13),""),IF(AND(YEAR(A13)=2007,YEAR(A14)=2008),SUM(D$12:D13,D14*(T$8-A13)/(A14-A13)),"")))</f>
        <v/>
      </c>
      <c r="U12" s="67" t="str">
        <f>IF(A13="","",IF(A14="",IF(YEAR(A13)=2008,SUM(D$12:D13),""),IF(AND(YEAR(A13)=2008,YEAR(A14)=2009),SUM(D$12:D13,D14*(U$8-A13)/(A14-A13)),"")))</f>
        <v/>
      </c>
      <c r="V12" s="67" t="str">
        <f>IF(A13="","",IF(A14="",IF(YEAR(A13)=2009,SUM(D$12:D13),""),IF(AND(YEAR(A13)=2009,YEAR(A14)=2010),SUM(D$12:D13,D14*(V$8-A13)/(A14-A13)),"")))</f>
        <v/>
      </c>
      <c r="W12" s="67" t="str">
        <f>IF(A13="","",IF(A14="",IF(YEAR(A13)=2010,SUM(D$12:D13),""),IF(AND(YEAR(A13)=2010,YEAR(A14)=2011),SUM(D$12:D13,D14*(W$8-A13)/(A14-A13)),"")))</f>
        <v/>
      </c>
      <c r="X12" s="67" t="str">
        <f>IF(A13="","",IF(A14="",IF(YEAR(A13)=2011,SUM(D$12:D13),""),IF(AND(YEAR(A13)=2011,YEAR(A14)=2012),SUM(D$12:D13,D14*(X$8-A13)/(A14-A13)),"")))</f>
        <v/>
      </c>
      <c r="Y12" s="72" t="str">
        <f>IF(A13="","",IF(A14="",IF(YEAR(A13)=2012,SUM(D$12:D13),""),IF(AND(YEAR(A13)=2012,YEAR(A14)=2013),SUM(D$12:D13,D14*(Y$8-A13)/(A14-A13)),"")))</f>
        <v/>
      </c>
      <c r="Z12" s="67" t="str">
        <f>IF($A13="","",IF($A14="",IF(YEAR($A13)=2002,SUM($J$12:$J13),""),IF(AND(YEAR($A13)=2002,YEAR($A14)=2003),SUM($J$12:$J13,$J14*(O$8-$A13)/($A14-$A13)),"")))</f>
        <v/>
      </c>
      <c r="AA12" s="67" t="str">
        <f>IF($A13="","",IF($A14="",IF(YEAR($A13)=2003,SUM($J$12:$J13),""),IF(AND(YEAR($A13)=2003,YEAR($A14)=2004),SUM($J$12:$J13,$J14*(P$8-$A13)/($A14-$A13)),"")))</f>
        <v/>
      </c>
      <c r="AB12" s="67" t="str">
        <f>IF($A13="","",IF($A14="",IF(YEAR($A13)=2004,SUM($J$12:$J13),""),IF(AND(YEAR($A13)=2004,YEAR($A14)=2005),SUM($J$12:$J13,$J14*(Q$8-$A13)/($A14-$A13)),"")))</f>
        <v/>
      </c>
      <c r="AC12" s="67" t="str">
        <f>IF($A13="","",IF($A14="",IF(YEAR($A13)=2005,SUM($J$12:$J13),""),IF(AND(YEAR($A13)=2005,YEAR($A14)=2006),SUM($J$12:$J13,$J14*(R$8-$A13)/($A14-$A13)),"")))</f>
        <v/>
      </c>
      <c r="AD12" s="67" t="str">
        <f>IF($A13="","",IF($A14="",IF(YEAR($A13)=2006,SUM($J$12:$J13),""),IF(AND(YEAR($A13)=2006,YEAR($A14)=2007),SUM($J$12:$J13,$J14*(S$8-$A13)/($A14-$A13)),"")))</f>
        <v/>
      </c>
      <c r="AE12" s="67" t="str">
        <f>IF($A13="","",IF($A14="",IF(YEAR($A13)=2007,SUM($J$12:$J13),""),IF(AND(YEAR($A13)=2007,YEAR($A14)=2008),SUM($J$12:$J13,$J14*(T$8-$A13)/($A14-$A13)),"")))</f>
        <v/>
      </c>
      <c r="AF12" s="67" t="str">
        <f>IF($A13="","",IF($A14="",IF(YEAR($A13)=2008,SUM($J$12:$J13),""),IF(AND(YEAR($A13)=2008,YEAR($A14)=2009),SUM($J$12:$J13,$J14*(U$8-$A13)/($A14-$A13)),"")))</f>
        <v/>
      </c>
      <c r="AG12" s="67" t="str">
        <f>IF($A13="","",IF($A14="",IF(YEAR($A13)=2009,SUM($J$12:$J13),""),IF(AND(YEAR($A13)=2009,YEAR($A14)=2010),SUM($J$12:$J13,$J14*(V$8-$A13)/($A14-$A13)),"")))</f>
        <v/>
      </c>
      <c r="AH12" s="67" t="str">
        <f>IF($A13="","",IF($A14="",IF(YEAR($A13)=2010,SUM($J$12:$J13),""),IF(AND(YEAR($A13)=2010,YEAR($A14)=2011),SUM($J$12:$J13,$J14*(W$8-$A13)/($A14-$A13)),"")))</f>
        <v/>
      </c>
      <c r="AI12" s="67" t="str">
        <f>IF($A13="","",IF($A14="",IF(YEAR($A13)=2011,SUM($J$12:$J13),""),IF(AND(YEAR($A13)=2011,YEAR($A14)=2012),SUM($J$12:$J13,$J14*(X$8-$A13)/($A14-$A13)),"")))</f>
        <v/>
      </c>
      <c r="AJ12" s="67" t="str">
        <f>IF($A13="","",IF($A14="",IF(YEAR($A13)=2012,SUM($J$12:$J13),""),IF(AND(YEAR($A13)=2012,YEAR($A14)=2013),SUM($J$12:$J13,$J14*(Y$8-$A13)/($A14-$A13)),"")))</f>
        <v/>
      </c>
    </row>
    <row r="13" spans="1:36" x14ac:dyDescent="0.2">
      <c r="A13" s="307">
        <f t="shared" ref="A13:A76" si="0">IF(B13&lt;=($E$5*$E$7),DATE(YEAR(A12),MONTH(A12)+12/$E$7,DAY(A12)),"")</f>
        <v>40323</v>
      </c>
      <c r="B13" s="203">
        <f>1</f>
        <v>1</v>
      </c>
      <c r="C13" s="201">
        <f>D13+E13</f>
        <v>4823000</v>
      </c>
      <c r="D13" s="201">
        <f>IF(B13=" "," ",ROUND(F12*E$6/E$7,2))</f>
        <v>1643000</v>
      </c>
      <c r="E13" s="201">
        <f>C5*6%</f>
        <v>3180000</v>
      </c>
      <c r="F13" s="201">
        <f>IF(B13=" "," ",F12-E13)</f>
        <v>49820000</v>
      </c>
      <c r="G13" s="201">
        <f>IF(B14=" ",IF(E$5*E$7=B13,C13-C$7+C$8+G$10," "),C13)+G7*25%</f>
        <v>5883000</v>
      </c>
      <c r="H13" s="204" t="str">
        <f>IF(B14=" ",IF(E$5*E$7=1,IRR(G$12:G13,0.01)," ")," ")</f>
        <v xml:space="preserve"> </v>
      </c>
      <c r="I13" s="202">
        <f t="shared" ref="I13:I76" si="1">IF(A14="","",F13-C$7)</f>
        <v>43990000</v>
      </c>
      <c r="J13" s="202">
        <f t="shared" ref="J13:J76" si="2">IF(I12="","",I12*(A13-A12)/365)</f>
        <v>23391150.684931505</v>
      </c>
      <c r="K13" s="47" t="s">
        <v>519</v>
      </c>
      <c r="L13" s="48">
        <f>IF((SUM(R11:R133)-L10-L7-L4)&lt;0,0,(SUM(R11:R133)/10000-L10-L7-L4))</f>
        <v>0</v>
      </c>
      <c r="M13" s="47" t="s">
        <v>694</v>
      </c>
      <c r="N13" s="48">
        <f>IF(L13=0,0,L13+L16+L19+L22+L25+L28+L31+L34)</f>
        <v>0</v>
      </c>
      <c r="O13" s="67" t="str">
        <f>IF($A14="","",IF($A15="",IF(YEAR($A14)=2002,SUM($D$12:$D14),""),IF(AND(YEAR($A14)=2002,YEAR($A15)=2003),SUM($D$12:$D14,$D15*(O$8-$A14)/($A15-$A14)),"")))</f>
        <v/>
      </c>
      <c r="P13" s="67" t="str">
        <f>IF($A14="","",IF($A15="",IF(YEAR($A14)=2003,SUM($D$12:$D14),""),IF(AND(YEAR($A14)=2003,YEAR($A15)=2004),SUM($D$12:$D14,$D15*(P$8-$A14)/($A15-$A14)),"")))</f>
        <v/>
      </c>
      <c r="Q13" s="67" t="str">
        <f>IF(A14="","",IF(A15="",IF(YEAR(A14)=2004,SUM(D$12:D14),""),IF(AND(YEAR(A14)=2004,YEAR(A15)=2005),SUM(D$12:D14,D15*(Q$8-A14)/(A15-A14)),"")))</f>
        <v/>
      </c>
      <c r="R13" s="67" t="str">
        <f>IF(A14="","",IF(A15="",IF(YEAR(A14)=2005,SUM(D$12:D14),""),IF(AND(YEAR(A14)=2005,YEAR(A15)=2006),SUM(D$12:D14,D15*(R$8-A14)/(A15-A14)),"")))</f>
        <v/>
      </c>
      <c r="S13" s="67" t="str">
        <f>IF(A14="","",IF(A15="",IF(YEAR(A14)=2006,SUM(D$12:D14),""),IF(AND(YEAR(A14)=2006,YEAR(A15)=2007),SUM(D$12:D14,D15*(S$8-A14)/(A15-A14)),"")))</f>
        <v/>
      </c>
      <c r="T13" s="67" t="str">
        <f>IF(A14="","",IF(A15="",IF(YEAR(A14)=2007,SUM(D$12:D14),""),IF(AND(YEAR(A14)=2007,YEAR(A15)=2008),SUM(D$12:D14,D15*(T$8-A14)/(A15-A14)),"")))</f>
        <v/>
      </c>
      <c r="U13" s="67" t="str">
        <f>IF(A14="","",IF(A15="",IF(YEAR(A14)=2008,SUM(D$12:D14),""),IF(AND(YEAR(A14)=2008,YEAR(A15)=2009),SUM(D$12:D14,D15*(U$8-A14)/(A15-A14)),"")))</f>
        <v/>
      </c>
      <c r="V13" s="67" t="str">
        <f>IF(A14="","",IF(A15="",IF(YEAR(A14)=2009,SUM(D$12:D14),""),IF(AND(YEAR(A14)=2009,YEAR(A15)=2010),SUM(D$12:D14,D15*(V$8-A14)/(A15-A14)),"")))</f>
        <v/>
      </c>
      <c r="W13" s="67">
        <f>IF(A14="","",IF(A15="",IF(YEAR(A14)=2010,SUM(D$12:D14),""),IF(AND(YEAR(A14)=2010,YEAR(A15)=2011),SUM(D$12:D14,D15*(W$8-A14)/(A15-A14)),"")))</f>
        <v>3461919.0055248616</v>
      </c>
      <c r="X13" s="67" t="str">
        <f>IF(A14="","",IF(A15="",IF(YEAR(A14)=2011,SUM(D$12:D14),""),IF(AND(YEAR(A14)=2011,YEAR(A15)=2012),SUM(D$12:D14,D15*(X$8-A14)/(A15-A14)),"")))</f>
        <v/>
      </c>
      <c r="Y13" s="72" t="str">
        <f>IF(A14="","",IF(A15="",IF(YEAR(A14)=2012,SUM(D$12:D14),""),IF(AND(YEAR(A14)=2012,YEAR(A15)=2013),SUM(D$12:D14,D15*(Y$8-A14)/(A15-A14)),"")))</f>
        <v/>
      </c>
      <c r="Z13" s="67" t="str">
        <f>IF($A14="","",IF($A15="",IF(YEAR($A14)=2002,SUM($J$12:$J14),""),IF(AND(YEAR($A14)=2002,YEAR($A15)=2003),SUM($J$12:$J14,$J15*(O$8-$A14)/($A15-$A14)),"")))</f>
        <v/>
      </c>
      <c r="AA13" s="67" t="str">
        <f>IF($A14="","",IF($A15="",IF(YEAR($A14)=2003,SUM($J$12:$J14),""),IF(AND(YEAR($A14)=2003,YEAR($A15)=2004),SUM($J$12:$J14,$J15*(P$8-$A14)/($A15-$A14)),"")))</f>
        <v/>
      </c>
      <c r="AB13" s="67" t="str">
        <f>IF($A14="","",IF($A15="",IF(YEAR($A14)=2004,SUM($J$12:$J14),""),IF(AND(YEAR($A14)=2004,YEAR($A15)=2005),SUM($J$12:$J14,$J15*(Q$8-$A14)/($A15-$A14)),"")))</f>
        <v/>
      </c>
      <c r="AC13" s="67" t="str">
        <f>IF($A14="","",IF($A15="",IF(YEAR($A14)=2005,SUM($J$12:$J14),""),IF(AND(YEAR($A14)=2005,YEAR($A15)=2006),SUM($J$12:$J14,$J15*(R$8-$A14)/($A15-$A14)),"")))</f>
        <v/>
      </c>
      <c r="AD13" s="67" t="str">
        <f>IF($A14="","",IF($A15="",IF(YEAR($A14)=2006,SUM($J$12:$J14),""),IF(AND(YEAR($A14)=2006,YEAR($A15)=2007),SUM($J$12:$J14,$J15*(S$8-$A14)/($A15-$A14)),"")))</f>
        <v/>
      </c>
      <c r="AE13" s="67" t="str">
        <f>IF($A14="","",IF($A15="",IF(YEAR($A14)=2007,SUM($J$12:$J14),""),IF(AND(YEAR($A14)=2007,YEAR($A15)=2008),SUM($J$12:$J14,$J15*(T$8-$A14)/($A15-$A14)),"")))</f>
        <v/>
      </c>
      <c r="AF13" s="67" t="str">
        <f>IF($A14="","",IF($A15="",IF(YEAR($A14)=2008,SUM($J$12:$J14),""),IF(AND(YEAR($A14)=2008,YEAR($A15)=2009),SUM($J$12:$J14,$J15*(U$8-$A14)/($A15-$A14)),"")))</f>
        <v/>
      </c>
      <c r="AG13" s="67" t="str">
        <f>IF($A14="","",IF($A15="",IF(YEAR($A14)=2009,SUM($J$12:$J14),""),IF(AND(YEAR($A14)=2009,YEAR($A15)=2010),SUM($J$12:$J14,$J15*(V$8-$A14)/($A15-$A14)),"")))</f>
        <v/>
      </c>
      <c r="AH13" s="67">
        <f>IF($A14="","",IF($A15="",IF(YEAR($A14)=2010,SUM($J$12:$J14),""),IF(AND(YEAR($A14)=2010,YEAR($A15)=2011),SUM($J$12:$J14,$J15*(W$8-$A14)/($A15-$A14)),"")))</f>
        <v>49382931.506849319</v>
      </c>
      <c r="AI13" s="67" t="str">
        <f>IF($A14="","",IF($A15="",IF(YEAR($A14)=2011,SUM($J$12:$J14),""),IF(AND(YEAR($A14)=2011,YEAR($A15)=2012),SUM($J$12:$J14,$J15*(X$8-$A14)/($A15-$A14)),"")))</f>
        <v/>
      </c>
      <c r="AJ13" s="67" t="str">
        <f>IF($A14="","",IF($A15="",IF(YEAR($A14)=2012,SUM($J$12:$J14),""),IF(AND(YEAR($A14)=2012,YEAR($A15)=2013),SUM($J$12:$J14,$J15*(Y$8-$A14)/($A15-$A14)),"")))</f>
        <v/>
      </c>
    </row>
    <row r="14" spans="1:36" x14ac:dyDescent="0.2">
      <c r="A14" s="308">
        <f t="shared" si="0"/>
        <v>40507</v>
      </c>
      <c r="B14" s="203">
        <f>IF($E$5*$E$7&lt;2," ",2)</f>
        <v>2</v>
      </c>
      <c r="C14" s="201">
        <f>IF(B14=" "," ",D14+E14)</f>
        <v>6844420</v>
      </c>
      <c r="D14" s="201">
        <f>IF(B14=" "," ",ROUND(F13*E$6/E$7,2))</f>
        <v>1544420</v>
      </c>
      <c r="E14" s="201">
        <f>C5*10%</f>
        <v>5300000</v>
      </c>
      <c r="F14" s="201">
        <f>IF(B14=" "," ",F13-E14)</f>
        <v>44520000</v>
      </c>
      <c r="G14" s="201">
        <f>IF(B14=" "," ",IF(B15=" ",IF(E$5*E$7=B14,C14-C$7+C$8+G$10," "),C14))+G7*40%</f>
        <v>8540420</v>
      </c>
      <c r="H14" s="204" t="str">
        <f>IF(B14=" "," ",IF(B15=" ",IF(E$5*E$7=2,IRR(G$12:G14,0.01)," ")," "))</f>
        <v xml:space="preserve"> </v>
      </c>
      <c r="I14" s="202">
        <f t="shared" si="1"/>
        <v>38690000</v>
      </c>
      <c r="J14" s="202">
        <f t="shared" si="2"/>
        <v>22175780.82191781</v>
      </c>
      <c r="K14" s="53" t="s">
        <v>436</v>
      </c>
      <c r="L14" s="48">
        <f>IF((SUM(AC11:AC133)-L11-L8-L5)&lt;0,0,SUM(AC11:AC133)/10000-L11-L8-L5)</f>
        <v>0</v>
      </c>
      <c r="M14" s="53" t="s">
        <v>695</v>
      </c>
      <c r="N14" s="48">
        <f>IF(L14=0,0,L14+L17+L20+L23+L26+L29+L32+L35)</f>
        <v>0</v>
      </c>
      <c r="O14" s="67" t="str">
        <f>IF($A15="","",IF($A16="",IF(YEAR($A15)=2002,SUM($D$12:$D15),""),IF(AND(YEAR($A15)=2002,YEAR($A16)=2003),SUM($D$12:$D15,$D16*(O$8-$A15)/($A16-$A15)),"")))</f>
        <v/>
      </c>
      <c r="P14" s="67" t="str">
        <f>IF($A15="","",IF($A16="",IF(YEAR($A15)=2003,SUM($D$12:$D15),""),IF(AND(YEAR($A15)=2003,YEAR($A16)=2004),SUM($D$12:$D15,$D16*(P$8-$A15)/($A16-$A15)),"")))</f>
        <v/>
      </c>
      <c r="Q14" s="67" t="str">
        <f>IF(A15="","",IF(A16="",IF(YEAR(A15)=2004,SUM(D$12:D15),""),IF(AND(YEAR(A15)=2004,YEAR(A16)=2005),SUM(D$12:D15,D16*(Q$8-A15)/(A16-A15)),"")))</f>
        <v/>
      </c>
      <c r="R14" s="67" t="str">
        <f>IF(A15="","",IF(A16="",IF(YEAR(A15)=2005,SUM(D$12:D15),""),IF(AND(YEAR(A15)=2005,YEAR(A16)=2006),SUM(D$12:D15,D16*(R$8-A15)/(A16-A15)),"")))</f>
        <v/>
      </c>
      <c r="S14" s="67" t="str">
        <f>IF(A15="","",IF(A16="",IF(YEAR(A15)=2006,SUM(D$12:D15),""),IF(AND(YEAR(A15)=2006,YEAR(A16)=2007),SUM(D$12:D15,D16*(S$8-A15)/(A16-A15)),"")))</f>
        <v/>
      </c>
      <c r="T14" s="67" t="str">
        <f>IF(A15="","",IF(A16="",IF(YEAR(A15)=2007,SUM(D$12:D15),""),IF(AND(YEAR(A15)=2007,YEAR(A16)=2008),SUM(D$12:D15,D16*(T$8-A15)/(A16-A15)),"")))</f>
        <v/>
      </c>
      <c r="U14" s="67" t="str">
        <f>IF(A15="","",IF(A16="",IF(YEAR(A15)=2008,SUM(D$12:D15),""),IF(AND(YEAR(A15)=2008,YEAR(A16)=2009),SUM(D$12:D15,D16*(U$8-A15)/(A16-A15)),"")))</f>
        <v/>
      </c>
      <c r="V14" s="67" t="str">
        <f>IF(A15="","",IF(A16="",IF(YEAR(A15)=2009,SUM(D$12:D15),""),IF(AND(YEAR(A15)=2009,YEAR(A16)=2010),SUM(D$12:D15,D16*(V$8-A15)/(A16-A15)),"")))</f>
        <v/>
      </c>
      <c r="W14" s="67" t="str">
        <f>IF(A15="","",IF(A16="",IF(YEAR(A15)=2010,SUM(D$12:D15),""),IF(AND(YEAR(A15)=2010,YEAR(A16)=2011),SUM(D$12:D15,D16*(W$8-A15)/(A16-A15)),"")))</f>
        <v/>
      </c>
      <c r="X14" s="67" t="str">
        <f>IF(A15="","",IF(A16="",IF(YEAR(A15)=2011,SUM(D$12:D15),""),IF(AND(YEAR(A15)=2011,YEAR(A16)=2012),SUM(D$12:D15,D16*(X$8-A15)/(A16-A15)),"")))</f>
        <v/>
      </c>
      <c r="Y14" s="72" t="str">
        <f>IF(A15="","",IF(A16="",IF(YEAR(A15)=2012,SUM(D$12:D15),""),IF(AND(YEAR(A15)=2012,YEAR(A16)=2013),SUM(D$12:D15,D16*(Y$8-A15)/(A16-A15)),"")))</f>
        <v/>
      </c>
      <c r="Z14" s="67" t="str">
        <f>IF($A15="","",IF($A16="",IF(YEAR($A15)=2002,SUM($J$12:$J15),""),IF(AND(YEAR($A15)=2002,YEAR($A16)=2003),SUM($J$12:$J15,$J16*(O$8-$A15)/($A16-$A15)),"")))</f>
        <v/>
      </c>
      <c r="AA14" s="67" t="str">
        <f>IF($A15="","",IF($A16="",IF(YEAR($A15)=2003,SUM($J$12:$J15),""),IF(AND(YEAR($A15)=2003,YEAR($A16)=2004),SUM($J$12:$J15,$J16*(P$8-$A15)/($A16-$A15)),"")))</f>
        <v/>
      </c>
      <c r="AB14" s="67" t="str">
        <f>IF($A15="","",IF($A16="",IF(YEAR($A15)=2004,SUM($J$12:$J15),""),IF(AND(YEAR($A15)=2004,YEAR($A16)=2005),SUM($J$12:$J15,$J16*(Q$8-$A15)/($A16-$A15)),"")))</f>
        <v/>
      </c>
      <c r="AC14" s="67" t="str">
        <f>IF($A15="","",IF($A16="",IF(YEAR($A15)=2005,SUM($J$12:$J15),""),IF(AND(YEAR($A15)=2005,YEAR($A16)=2006),SUM($J$12:$J15,$J16*(R$8-$A15)/($A16-$A15)),"")))</f>
        <v/>
      </c>
      <c r="AD14" s="67" t="str">
        <f>IF($A15="","",IF($A16="",IF(YEAR($A15)=2006,SUM($J$12:$J15),""),IF(AND(YEAR($A15)=2006,YEAR($A16)=2007),SUM($J$12:$J15,$J16*(S$8-$A15)/($A16-$A15)),"")))</f>
        <v/>
      </c>
      <c r="AE14" s="67" t="str">
        <f>IF($A15="","",IF($A16="",IF(YEAR($A15)=2007,SUM($J$12:$J15),""),IF(AND(YEAR($A15)=2007,YEAR($A16)=2008),SUM($J$12:$J15,$J16*(T$8-$A15)/($A16-$A15)),"")))</f>
        <v/>
      </c>
      <c r="AF14" s="67" t="str">
        <f>IF($A15="","",IF($A16="",IF(YEAR($A15)=2008,SUM($J$12:$J15),""),IF(AND(YEAR($A15)=2008,YEAR($A16)=2009),SUM($J$12:$J15,$J16*(U$8-$A15)/($A16-$A15)),"")))</f>
        <v/>
      </c>
      <c r="AG14" s="67" t="str">
        <f>IF($A15="","",IF($A16="",IF(YEAR($A15)=2009,SUM($J$12:$J15),""),IF(AND(YEAR($A15)=2009,YEAR($A16)=2010),SUM($J$12:$J15,$J16*(V$8-$A15)/($A16-$A15)),"")))</f>
        <v/>
      </c>
      <c r="AH14" s="67" t="str">
        <f>IF($A15="","",IF($A16="",IF(YEAR($A15)=2010,SUM($J$12:$J15),""),IF(AND(YEAR($A15)=2010,YEAR($A16)=2011),SUM($J$12:$J15,$J16*(W$8-$A15)/($A16-$A15)),"")))</f>
        <v/>
      </c>
      <c r="AI14" s="67" t="str">
        <f>IF($A15="","",IF($A16="",IF(YEAR($A15)=2011,SUM($J$12:$J15),""),IF(AND(YEAR($A15)=2011,YEAR($A16)=2012),SUM($J$12:$J15,$J16*(X$8-$A15)/($A16-$A15)),"")))</f>
        <v/>
      </c>
      <c r="AJ14" s="67" t="str">
        <f>IF($A15="","",IF($A16="",IF(YEAR($A15)=2012,SUM($J$12:$J15),""),IF(AND(YEAR($A15)=2012,YEAR($A16)=2013),SUM($J$12:$J15,$J16*(Y$8-$A15)/($A16-$A15)),"")))</f>
        <v/>
      </c>
    </row>
    <row r="15" spans="1:36" x14ac:dyDescent="0.2">
      <c r="A15" s="308">
        <f t="shared" si="0"/>
        <v>40688</v>
      </c>
      <c r="B15" s="203">
        <f>IF($E$5*$E$7&lt;3," ",3)</f>
        <v>3</v>
      </c>
      <c r="C15" s="201">
        <f>IF(AND(B13=" ",B14=" ",B15=" ")," ",IF(B14=" ",SUM(C$13:C13),IF(B15=" "," ",D15+E15)))</f>
        <v>5090120</v>
      </c>
      <c r="D15" s="201">
        <f>IF(AND(B13=" ",B14=" ",B15=" ")," ",IF(B14=" ",SUM(D$13:D13),IF(B15=" "," ",ROUND(F14*E$6/E$7,2))))</f>
        <v>1380120</v>
      </c>
      <c r="E15" s="201">
        <f>C5*7%</f>
        <v>3710000.0000000005</v>
      </c>
      <c r="F15" s="201">
        <f>IF(AND(B13=" ",B14=" ",B15=" ")," ",IF(B14=" ",SUM(F$12:F12),IF(B15=" "," ",F14-E15)))</f>
        <v>40810000</v>
      </c>
      <c r="G15" s="201">
        <f>IF(AND(B13=" ",B14=" ",B15=" ")," ",IF(B14=" ",SUM(G$12:G13),IF(B16=" ",IF(E$5*E$7=B15,C15-C$7+C$8+G$10," "),C15)))</f>
        <v>5090120</v>
      </c>
      <c r="H15" s="204" t="str">
        <f>IF(AND(B13=" ",B14=" ",B15=" ")," ",IF(B14=" ",SUM(H$13:H13)*E$7,IF(B15=" "," ",IF(B16=" ",IF(E$5*E$7=B15,IRR(G$12:G15,0.01)," ")," "))))</f>
        <v xml:space="preserve"> </v>
      </c>
      <c r="I15" s="202">
        <f t="shared" si="1"/>
        <v>34980000</v>
      </c>
      <c r="J15" s="202">
        <f t="shared" si="2"/>
        <v>19186000</v>
      </c>
      <c r="K15" s="47"/>
      <c r="L15" s="50">
        <f>IF(L14=0,0,L13/L14)</f>
        <v>0</v>
      </c>
      <c r="M15" s="54"/>
      <c r="N15" s="50">
        <f>IF(N14=0,0,N13/N14)</f>
        <v>0</v>
      </c>
      <c r="O15" s="67" t="str">
        <f>IF($A16="","",IF($A17="",IF(YEAR($A16)=2002,SUM($D$12:$D16),""),IF(AND(YEAR($A16)=2002,YEAR($A17)=2003),SUM($D$12:$D16,$D17*(O$8-$A16)/($A17-$A16)),"")))</f>
        <v/>
      </c>
      <c r="P15" s="67" t="str">
        <f>IF($A16="","",IF($A17="",IF(YEAR($A16)=2003,SUM($D$12:$D16),""),IF(AND(YEAR($A16)=2003,YEAR($A17)=2004),SUM($D$12:$D16,$D17*(P$8-$A16)/($A17-$A16)),"")))</f>
        <v/>
      </c>
      <c r="Q15" s="67" t="str">
        <f>IF(A16="","",IF(A17="",IF(YEAR(A16)=2004,SUM(D$12:D16),""),IF(AND(YEAR(A16)=2004,YEAR(A17)=2005),SUM(D$12:D16,D17*(Q$8-A16)/(A17-A16)),"")))</f>
        <v/>
      </c>
      <c r="R15" s="67" t="str">
        <f>IF(A16="","",IF(A17="",IF(YEAR(A16)=2005,SUM(D$12:D16),""),IF(AND(YEAR(A16)=2005,YEAR(A17)=2006),SUM(D$12:D16,D17*(R$8-A16)/(A17-A16)),"")))</f>
        <v/>
      </c>
      <c r="S15" s="67" t="str">
        <f>IF(A16="","",IF(A17="",IF(YEAR(A16)=2006,SUM(D$12:D16),""),IF(AND(YEAR(A16)=2006,YEAR(A17)=2007),SUM(D$12:D16,D17*(S$8-A16)/(A17-A16)),"")))</f>
        <v/>
      </c>
      <c r="T15" s="67" t="str">
        <f>IF(A16="","",IF(A17="",IF(YEAR(A16)=2007,SUM(D$12:D16),""),IF(AND(YEAR(A16)=2007,YEAR(A17)=2008),SUM(D$12:D16,D17*(T$8-A16)/(A17-A16)),"")))</f>
        <v/>
      </c>
      <c r="U15" s="67" t="str">
        <f>IF(A16="","",IF(A17="",IF(YEAR(A16)=2008,SUM(D$12:D16),""),IF(AND(YEAR(A16)=2008,YEAR(A17)=2009),SUM(D$12:D16,D17*(U$8-A16)/(A17-A16)),"")))</f>
        <v/>
      </c>
      <c r="V15" s="67" t="str">
        <f>IF(A16="","",IF(A17="",IF(YEAR(A16)=2009,SUM(D$12:D16),""),IF(AND(YEAR(A16)=2009,YEAR(A17)=2010),SUM(D$12:D16,D17*(V$8-A16)/(A17-A16)),"")))</f>
        <v/>
      </c>
      <c r="W15" s="67" t="str">
        <f>IF(A16="","",IF(A17="",IF(YEAR(A16)=2010,SUM(D$12:D16),""),IF(AND(YEAR(A16)=2010,YEAR(A17)=2011),SUM(D$12:D16,D17*(W$8-A16)/(A17-A16)),"")))</f>
        <v/>
      </c>
      <c r="X15" s="67">
        <f>IF(A16="","",IF(A17="",IF(YEAR(A16)=2011,SUM(D$12:D16),""),IF(AND(YEAR(A16)=2011,YEAR(A17)=2012),SUM(D$12:D16,D17*(X$8-A16)/(A17-A16)),"")))</f>
        <v>6037393.076923077</v>
      </c>
      <c r="Y15" s="72" t="str">
        <f>IF(A16="","",IF(A17="",IF(YEAR(A16)=2012,SUM(D$12:D16),""),IF(AND(YEAR(A16)=2012,YEAR(A17)=2013),SUM(D$12:D16,D17*(Y$8-A16)/(A17-A16)),"")))</f>
        <v/>
      </c>
      <c r="Z15" s="67" t="str">
        <f>IF($A16="","",IF($A17="",IF(YEAR($A16)=2002,SUM($J$12:$J16),""),IF(AND(YEAR($A16)=2002,YEAR($A17)=2003),SUM($J$12:$J16,$J17*(O$8-$A16)/($A17-$A16)),"")))</f>
        <v/>
      </c>
      <c r="AA15" s="67" t="str">
        <f>IF($A16="","",IF($A17="",IF(YEAR($A16)=2003,SUM($J$12:$J16),""),IF(AND(YEAR($A16)=2003,YEAR($A17)=2004),SUM($J$12:$J16,$J17*(P$8-$A16)/($A17-$A16)),"")))</f>
        <v/>
      </c>
      <c r="AB15" s="67" t="str">
        <f>IF($A16="","",IF($A17="",IF(YEAR($A16)=2004,SUM($J$12:$J16),""),IF(AND(YEAR($A16)=2004,YEAR($A17)=2005),SUM($J$12:$J16,$J17*(Q$8-$A16)/($A17-$A16)),"")))</f>
        <v/>
      </c>
      <c r="AC15" s="67" t="str">
        <f>IF($A16="","",IF($A17="",IF(YEAR($A16)=2005,SUM($J$12:$J16),""),IF(AND(YEAR($A16)=2005,YEAR($A17)=2006),SUM($J$12:$J16,$J17*(R$8-$A16)/($A17-$A16)),"")))</f>
        <v/>
      </c>
      <c r="AD15" s="67" t="str">
        <f>IF($A16="","",IF($A17="",IF(YEAR($A16)=2006,SUM($J$12:$J16),""),IF(AND(YEAR($A16)=2006,YEAR($A17)=2007),SUM($J$12:$J16,$J17*(S$8-$A16)/($A17-$A16)),"")))</f>
        <v/>
      </c>
      <c r="AE15" s="67" t="str">
        <f>IF($A16="","",IF($A17="",IF(YEAR($A16)=2007,SUM($J$12:$J16),""),IF(AND(YEAR($A16)=2007,YEAR($A17)=2008),SUM($J$12:$J16,$J17*(T$8-$A16)/($A17-$A16)),"")))</f>
        <v/>
      </c>
      <c r="AF15" s="67" t="str">
        <f>IF($A16="","",IF($A17="",IF(YEAR($A16)=2008,SUM($J$12:$J16),""),IF(AND(YEAR($A16)=2008,YEAR($A17)=2009),SUM($J$12:$J16,$J17*(U$8-$A16)/($A17-$A16)),"")))</f>
        <v/>
      </c>
      <c r="AG15" s="67" t="str">
        <f>IF($A16="","",IF($A17="",IF(YEAR($A16)=2009,SUM($J$12:$J16),""),IF(AND(YEAR($A16)=2009,YEAR($A17)=2010),SUM($J$12:$J16,$J17*(V$8-$A16)/($A17-$A16)),"")))</f>
        <v/>
      </c>
      <c r="AH15" s="67" t="str">
        <f>IF($A16="","",IF($A17="",IF(YEAR($A16)=2010,SUM($J$12:$J16),""),IF(AND(YEAR($A16)=2010,YEAR($A17)=2011),SUM($J$12:$J16,$J17*(W$8-$A16)/($A17-$A16)),"")))</f>
        <v/>
      </c>
      <c r="AI15" s="67">
        <f>IF($A16="","",IF($A17="",IF(YEAR($A16)=2011,SUM($J$12:$J16),""),IF(AND(YEAR($A16)=2011,YEAR($A17)=2012),SUM($J$12:$J16,$J17*(X$8-$A16)/($A17-$A16)),"")))</f>
        <v>85104931.506849319</v>
      </c>
      <c r="AJ15" s="67" t="str">
        <f>IF($A16="","",IF($A17="",IF(YEAR($A16)=2012,SUM($J$12:$J16),""),IF(AND(YEAR($A16)=2012,YEAR($A17)=2013),SUM($J$12:$J16,$J17*(Y$8-$A16)/($A17-$A16)),"")))</f>
        <v/>
      </c>
    </row>
    <row r="16" spans="1:36" x14ac:dyDescent="0.2">
      <c r="A16" s="308">
        <f t="shared" si="0"/>
        <v>40872</v>
      </c>
      <c r="B16" s="203">
        <f>IF($E$5*$E$7&lt;4," ",4)</f>
        <v>4</v>
      </c>
      <c r="C16" s="201">
        <f>IF(AND(B14=" ",B15=" ",B16=" ")," ",IF(B15=" ",SUM(C$13:C14),IF(B16=" "," ",D16+E16)))</f>
        <v>8685110</v>
      </c>
      <c r="D16" s="201">
        <f>IF(AND(B14=" ",B15=" ",B16=" ")," ",IF(B15=" ",SUM(D$13:D14),IF(B16=" "," ",ROUND(F15*E$6/E$7,2))))</f>
        <v>1265110</v>
      </c>
      <c r="E16" s="201">
        <f>C5*14%</f>
        <v>7420000.0000000009</v>
      </c>
      <c r="F16" s="201">
        <f>IF(AND(B14=" ",B15=" ",B16=" ")," ",IF(B15=" ",SUM(F$12:F13),IF(B16=" "," ",F15-E16)))</f>
        <v>33390000</v>
      </c>
      <c r="G16" s="201">
        <f>IF(AND(B14=" ",B15=" ",B16=" ")," ",IF(B15=" ",SUM(G$12:G14),IF(B17=" ",IF(E$5*E$7=B16,C16-C$7+C$8+G$10," "),C16)))</f>
        <v>8685110</v>
      </c>
      <c r="H16" s="204" t="str">
        <f>IF(AND(B14=" ",B15=" ",B16=" ")," ",IF(B15=" ",SUM(H$13:H14)*E$7,IF(B16=" "," ",IF(B17=" ",IF(E$5*E$7=B16,IRR(G$12:G16,0.01)," ")," "))))</f>
        <v xml:space="preserve"> </v>
      </c>
      <c r="I16" s="202">
        <f t="shared" si="1"/>
        <v>27560000</v>
      </c>
      <c r="J16" s="202">
        <f t="shared" si="2"/>
        <v>17633753.424657535</v>
      </c>
      <c r="K16" s="47" t="s">
        <v>437</v>
      </c>
      <c r="L16" s="48">
        <f>IF((SUM(S11:S133)-L13-L10-L7-L4)&lt;0,0,SUM(S11:S133)/10000-L13-L10-L7-L4)</f>
        <v>0</v>
      </c>
      <c r="M16" s="47" t="s">
        <v>696</v>
      </c>
      <c r="N16" s="48">
        <f>IF(L16=0,0,L16+L19+L22+L25+L28+L31+L34)</f>
        <v>0</v>
      </c>
      <c r="O16" s="67" t="str">
        <f>IF($A17="","",IF($A18="",IF(YEAR($A17)=2002,SUM($D$12:$D17),""),IF(AND(YEAR($A17)=2002,YEAR($A18)=2003),SUM($D$12:$D17,$D18*(O$8-$A17)/($A18-$A17)),"")))</f>
        <v/>
      </c>
      <c r="P16" s="67" t="str">
        <f>IF($A17="","",IF($A18="",IF(YEAR($A17)=2003,SUM($D$12:$D17),""),IF(AND(YEAR($A17)=2003,YEAR($A18)=2004),SUM($D$12:$D17,$D18*(P$8-$A17)/($A18-$A17)),"")))</f>
        <v/>
      </c>
      <c r="Q16" s="67" t="str">
        <f>IF(A17="","",IF(A18="",IF(YEAR(A17)=2004,SUM(D$12:D17),""),IF(AND(YEAR(A17)=2004,YEAR(A18)=2005),SUM(D$12:D17,D18*(Q$8-A17)/(A18-A17)),"")))</f>
        <v/>
      </c>
      <c r="R16" s="67" t="str">
        <f>IF(A17="","",IF(A18="",IF(YEAR(A17)=2005,SUM(D$12:D17),""),IF(AND(YEAR(A17)=2005,YEAR(A18)=2006),SUM(D$12:D17,D18*(R$8-A17)/(A18-A17)),"")))</f>
        <v/>
      </c>
      <c r="S16" s="67" t="str">
        <f>IF(A17="","",IF(A18="",IF(YEAR(A17)=2006,SUM(D$12:D17),""),IF(AND(YEAR(A17)=2006,YEAR(A18)=2007),SUM(D$12:D17,D18*(S$8-A17)/(A18-A17)),"")))</f>
        <v/>
      </c>
      <c r="T16" s="67" t="str">
        <f>IF(A17="","",IF(A18="",IF(YEAR(A17)=2007,SUM(D$12:D17),""),IF(AND(YEAR(A17)=2007,YEAR(A18)=2008),SUM(D$12:D17,D18*(T$8-A17)/(A18-A17)),"")))</f>
        <v/>
      </c>
      <c r="U16" s="67" t="str">
        <f>IF(A17="","",IF(A18="",IF(YEAR(A17)=2008,SUM(D$12:D17),""),IF(AND(YEAR(A17)=2008,YEAR(A18)=2009),SUM(D$12:D17,D18*(U$8-A17)/(A18-A17)),"")))</f>
        <v/>
      </c>
      <c r="V16" s="67" t="str">
        <f>IF(A17="","",IF(A18="",IF(YEAR(A17)=2009,SUM(D$12:D17),""),IF(AND(YEAR(A17)=2009,YEAR(A18)=2010),SUM(D$12:D17,D18*(V$8-A17)/(A18-A17)),"")))</f>
        <v/>
      </c>
      <c r="W16" s="67" t="str">
        <f>IF(A17="","",IF(A18="",IF(YEAR(A17)=2010,SUM(D$12:D17),""),IF(AND(YEAR(A17)=2010,YEAR(A18)=2011),SUM(D$12:D17,D18*(W$8-A17)/(A18-A17)),"")))</f>
        <v/>
      </c>
      <c r="X16" s="67" t="str">
        <f>IF(A17="","",IF(A18="",IF(YEAR(A17)=2011,SUM(D$12:D17),""),IF(AND(YEAR(A17)=2011,YEAR(A18)=2012),SUM(D$12:D17,D18*(X$8-A17)/(A18-A17)),"")))</f>
        <v/>
      </c>
      <c r="Y16" s="72" t="str">
        <f>IF(A17="","",IF(A18="",IF(YEAR(A17)=2012,SUM(D$12:D17),""),IF(AND(YEAR(A17)=2012,YEAR(A18)=2013),SUM(D$12:D17,D18*(Y$8-A17)/(A18-A17)),"")))</f>
        <v/>
      </c>
      <c r="Z16" s="67" t="str">
        <f>IF($A17="","",IF($A18="",IF(YEAR($A17)=2002,SUM($J$12:$J17),""),IF(AND(YEAR($A17)=2002,YEAR($A18)=2003),SUM($J$12:$J17,$J18*(O$8-$A17)/($A18-$A17)),"")))</f>
        <v/>
      </c>
      <c r="AA16" s="67" t="str">
        <f>IF($A17="","",IF($A18="",IF(YEAR($A17)=2003,SUM($J$12:$J17),""),IF(AND(YEAR($A17)=2003,YEAR($A18)=2004),SUM($J$12:$J17,$J18*(P$8-$A17)/($A18-$A17)),"")))</f>
        <v/>
      </c>
      <c r="AB16" s="67" t="str">
        <f>IF($A17="","",IF($A18="",IF(YEAR($A17)=2004,SUM($J$12:$J17),""),IF(AND(YEAR($A17)=2004,YEAR($A18)=2005),SUM($J$12:$J17,$J18*(Q$8-$A17)/($A18-$A17)),"")))</f>
        <v/>
      </c>
      <c r="AC16" s="67" t="str">
        <f>IF($A17="","",IF($A18="",IF(YEAR($A17)=2005,SUM($J$12:$J17),""),IF(AND(YEAR($A17)=2005,YEAR($A18)=2006),SUM($J$12:$J17,$J18*(R$8-$A17)/($A18-$A17)),"")))</f>
        <v/>
      </c>
      <c r="AD16" s="67" t="str">
        <f>IF($A17="","",IF($A18="",IF(YEAR($A17)=2006,SUM($J$12:$J17),""),IF(AND(YEAR($A17)=2006,YEAR($A18)=2007),SUM($J$12:$J17,$J18*(S$8-$A17)/($A18-$A17)),"")))</f>
        <v/>
      </c>
      <c r="AE16" s="67" t="str">
        <f>IF($A17="","",IF($A18="",IF(YEAR($A17)=2007,SUM($J$12:$J17),""),IF(AND(YEAR($A17)=2007,YEAR($A18)=2008),SUM($J$12:$J17,$J18*(T$8-$A17)/($A18-$A17)),"")))</f>
        <v/>
      </c>
      <c r="AF16" s="67" t="str">
        <f>IF($A17="","",IF($A18="",IF(YEAR($A17)=2008,SUM($J$12:$J17),""),IF(AND(YEAR($A17)=2008,YEAR($A18)=2009),SUM($J$12:$J17,$J18*(U$8-$A17)/($A18-$A17)),"")))</f>
        <v/>
      </c>
      <c r="AG16" s="67" t="str">
        <f>IF($A17="","",IF($A18="",IF(YEAR($A17)=2009,SUM($J$12:$J17),""),IF(AND(YEAR($A17)=2009,YEAR($A18)=2010),SUM($J$12:$J17,$J18*(V$8-$A17)/($A18-$A17)),"")))</f>
        <v/>
      </c>
      <c r="AH16" s="67" t="str">
        <f>IF($A17="","",IF($A18="",IF(YEAR($A17)=2010,SUM($J$12:$J17),""),IF(AND(YEAR($A17)=2010,YEAR($A18)=2011),SUM($J$12:$J17,$J18*(W$8-$A17)/($A18-$A17)),"")))</f>
        <v/>
      </c>
      <c r="AI16" s="67" t="str">
        <f>IF($A17="","",IF($A18="",IF(YEAR($A17)=2011,SUM($J$12:$J17),""),IF(AND(YEAR($A17)=2011,YEAR($A18)=2012),SUM($J$12:$J17,$J18*(X$8-$A17)/($A18-$A17)),"")))</f>
        <v/>
      </c>
      <c r="AJ16" s="67" t="str">
        <f>IF($A17="","",IF($A18="",IF(YEAR($A17)=2012,SUM($J$12:$J17),""),IF(AND(YEAR($A17)=2012,YEAR($A18)=2013),SUM($J$12:$J17,$J18*(Y$8-$A17)/($A18-$A17)),"")))</f>
        <v/>
      </c>
    </row>
    <row r="17" spans="1:36" x14ac:dyDescent="0.2">
      <c r="A17" s="308">
        <f t="shared" si="0"/>
        <v>41054</v>
      </c>
      <c r="B17" s="203">
        <f>IF($E$5*$E$7&lt;5," ",5)</f>
        <v>5</v>
      </c>
      <c r="C17" s="201">
        <f>IF(AND(B15=" ",B16=" ",B17=" ")," ",IF(B16=" ",SUM(C$13:C15),IF(B17=" "," ",D17+E17)))</f>
        <v>5275090</v>
      </c>
      <c r="D17" s="201">
        <f>IF(AND(B15=" ",B16=" ",B17=" ")," ",IF(B16=" ",SUM(D$13:D15),IF(B17=" "," ",ROUND(F16*E$6/E$7,2))))</f>
        <v>1035090</v>
      </c>
      <c r="E17" s="201">
        <f>C5*8%</f>
        <v>4240000</v>
      </c>
      <c r="F17" s="201">
        <f>IF(AND(B15=" ",B16=" ",B17=" ")," ",IF(B16=" ",SUM(F$12:F14),IF(B17=" "," ",F16-E17)))</f>
        <v>29150000</v>
      </c>
      <c r="G17" s="201">
        <f>IF(AND(B15=" ",B16=" ",B17=" ")," ",IF(B16=" ",SUM(G$12:G15),IF(B18=" ",IF(E$5*E$7=B17,C17-C$7+C$8+G$10," "),C17)))</f>
        <v>5275090</v>
      </c>
      <c r="H17" s="204" t="str">
        <f>IF(AND(B15=" ",B16=" ",B17=" ")," ",IF(B16=" ",SUM(H$13:H15)*E$7,IF(B17=" "," ",IF(B18=" ",IF(E$5*E$7=B17,IRR(G$12:G17,0.01)," ")," "))))</f>
        <v xml:space="preserve"> </v>
      </c>
      <c r="I17" s="202">
        <f t="shared" si="1"/>
        <v>23320000</v>
      </c>
      <c r="J17" s="202">
        <f t="shared" si="2"/>
        <v>13742246.575342465</v>
      </c>
      <c r="K17" s="51" t="s">
        <v>438</v>
      </c>
      <c r="L17" s="48">
        <f>IF((SUM(AD11:AD133)-L14-L11-L8-L5)&lt;0,0,SUM(AD11:AD133)/10000-L14-L11-L8-L5)</f>
        <v>0</v>
      </c>
      <c r="M17" s="51" t="s">
        <v>697</v>
      </c>
      <c r="N17" s="48">
        <f>IF(L17=0,0,L17+L20+L23+L26+L29+L32+L35)</f>
        <v>0</v>
      </c>
      <c r="O17" s="67" t="str">
        <f>IF($A18="","",IF($A19="",IF(YEAR($A18)=2002,SUM($D$12:$D18),""),IF(AND(YEAR($A18)=2002,YEAR($A19)=2003),SUM($D$12:$D18,$D19*(O$8-$A18)/($A19-$A18)),"")))</f>
        <v/>
      </c>
      <c r="P17" s="67" t="str">
        <f>IF($A18="","",IF($A19="",IF(YEAR($A18)=2003,SUM($D$12:$D18),""),IF(AND(YEAR($A18)=2003,YEAR($A19)=2004),SUM($D$12:$D18,$D19*(P$8-$A18)/($A19-$A18)),"")))</f>
        <v/>
      </c>
      <c r="Q17" s="67" t="str">
        <f>IF(A18="","",IF(A19="",IF(YEAR(A18)=2004,SUM(D$12:D18),""),IF(AND(YEAR(A18)=2004,YEAR(A19)=2005),SUM(D$12:D18,D19*(Q$8-A18)/(A19-A18)),"")))</f>
        <v/>
      </c>
      <c r="R17" s="67" t="str">
        <f>IF(A18="","",IF(A19="",IF(YEAR(A18)=2005,SUM(D$12:D18),""),IF(AND(YEAR(A18)=2005,YEAR(A19)=2006),SUM(D$12:D18,D19*(R$8-A18)/(A19-A18)),"")))</f>
        <v/>
      </c>
      <c r="S17" s="67" t="str">
        <f>IF(A18="","",IF(A19="",IF(YEAR(A18)=2006,SUM(D$12:D18),""),IF(AND(YEAR(A18)=2006,YEAR(A19)=2007),SUM(D$12:D18,D19*(S$8-A18)/(A19-A18)),"")))</f>
        <v/>
      </c>
      <c r="T17" s="67" t="str">
        <f>IF(A18="","",IF(A19="",IF(YEAR(A18)=2007,SUM(D$12:D18),""),IF(AND(YEAR(A18)=2007,YEAR(A19)=2008),SUM(D$12:D18,D19*(T$8-A18)/(A19-A18)),"")))</f>
        <v/>
      </c>
      <c r="U17" s="67" t="str">
        <f>IF(A18="","",IF(A19="",IF(YEAR(A18)=2008,SUM(D$12:D18),""),IF(AND(YEAR(A18)=2008,YEAR(A19)=2009),SUM(D$12:D18,D19*(U$8-A18)/(A19-A18)),"")))</f>
        <v/>
      </c>
      <c r="V17" s="67" t="str">
        <f>IF(A18="","",IF(A19="",IF(YEAR(A18)=2009,SUM(D$12:D18),""),IF(AND(YEAR(A18)=2009,YEAR(A19)=2010),SUM(D$12:D18,D19*(V$8-A18)/(A19-A18)),"")))</f>
        <v/>
      </c>
      <c r="W17" s="67" t="str">
        <f>IF(A18="","",IF(A19="",IF(YEAR(A18)=2010,SUM(D$12:D18),""),IF(AND(YEAR(A18)=2010,YEAR(A19)=2011),SUM(D$12:D18,D19*(W$8-A18)/(A19-A18)),"")))</f>
        <v/>
      </c>
      <c r="X17" s="67" t="str">
        <f>IF(A18="","",IF(A19="",IF(YEAR(A18)=2011,SUM(D$12:D18),""),IF(AND(YEAR(A18)=2011,YEAR(A19)=2012),SUM(D$12:D18,D19*(X$8-A18)/(A19-A18)),"")))</f>
        <v/>
      </c>
      <c r="Y17" s="72">
        <f>IF(A18="","",IF(A19="",IF(YEAR(A18)=2012,SUM(D$12:D18),""),IF(AND(YEAR(A18)=2012,YEAR(A19)=2013),SUM(D$12:D18,D19*(Y$8-A18)/(A19-A18)),"")))</f>
        <v>7902103.8121546963</v>
      </c>
      <c r="Z17" s="67" t="str">
        <f>IF($A18="","",IF($A19="",IF(YEAR($A18)=2002,SUM($J$12:$J18),""),IF(AND(YEAR($A18)=2002,YEAR($A19)=2003),SUM($J$12:$J18,$J19*(O$8-$A18)/($A19-$A18)),"")))</f>
        <v/>
      </c>
      <c r="AA17" s="67" t="str">
        <f>IF($A18="","",IF($A19="",IF(YEAR($A18)=2003,SUM($J$12:$J18),""),IF(AND(YEAR($A18)=2003,YEAR($A19)=2004),SUM($J$12:$J18,$J19*(P$8-$A18)/($A19-$A18)),"")))</f>
        <v/>
      </c>
      <c r="AB17" s="67" t="str">
        <f>IF($A18="","",IF($A19="",IF(YEAR($A18)=2004,SUM($J$12:$J18),""),IF(AND(YEAR($A18)=2004,YEAR($A19)=2005),SUM($J$12:$J18,$J19*(Q$8-$A18)/($A19-$A18)),"")))</f>
        <v/>
      </c>
      <c r="AC17" s="67" t="str">
        <f>IF($A18="","",IF($A19="",IF(YEAR($A18)=2005,SUM($J$12:$J18),""),IF(AND(YEAR($A18)=2005,YEAR($A19)=2006),SUM($J$12:$J18,$J19*(R$8-$A18)/($A19-$A18)),"")))</f>
        <v/>
      </c>
      <c r="AD17" s="67" t="str">
        <f>IF($A18="","",IF($A19="",IF(YEAR($A18)=2006,SUM($J$12:$J18),""),IF(AND(YEAR($A18)=2006,YEAR($A19)=2007),SUM($J$12:$J18,$J19*(S$8-$A18)/($A19-$A18)),"")))</f>
        <v/>
      </c>
      <c r="AE17" s="67" t="str">
        <f>IF($A18="","",IF($A19="",IF(YEAR($A18)=2007,SUM($J$12:$J18),""),IF(AND(YEAR($A18)=2007,YEAR($A19)=2008),SUM($J$12:$J18,$J19*(T$8-$A18)/($A19-$A18)),"")))</f>
        <v/>
      </c>
      <c r="AF17" s="67" t="str">
        <f>IF($A18="","",IF($A19="",IF(YEAR($A18)=2008,SUM($J$12:$J18),""),IF(AND(YEAR($A18)=2008,YEAR($A19)=2009),SUM($J$12:$J18,$J19*(U$8-$A18)/($A19-$A18)),"")))</f>
        <v/>
      </c>
      <c r="AG17" s="67" t="str">
        <f>IF($A18="","",IF($A19="",IF(YEAR($A18)=2009,SUM($J$12:$J18),""),IF(AND(YEAR($A18)=2009,YEAR($A19)=2010),SUM($J$12:$J18,$J19*(V$8-$A18)/($A19-$A18)),"")))</f>
        <v/>
      </c>
      <c r="AH17" s="67" t="str">
        <f>IF($A18="","",IF($A19="",IF(YEAR($A18)=2010,SUM($J$12:$J18),""),IF(AND(YEAR($A18)=2010,YEAR($A19)=2011),SUM($J$12:$J18,$J19*(W$8-$A18)/($A19-$A18)),"")))</f>
        <v/>
      </c>
      <c r="AI17" s="67" t="str">
        <f>IF($A18="","",IF($A19="",IF(YEAR($A18)=2011,SUM($J$12:$J18),""),IF(AND(YEAR($A18)=2011,YEAR($A19)=2012),SUM($J$12:$J18,$J19*(X$8-$A18)/($A19-$A18)),"")))</f>
        <v/>
      </c>
      <c r="AJ17" s="67">
        <f>IF($A18="","",IF($A19="",IF(YEAR($A18)=2012,SUM($J$12:$J18),""),IF(AND(YEAR($A18)=2012,YEAR($A19)=2013),SUM($J$12:$J18,$J19*(Y$8-$A18)/($A19-$A18)),"")))</f>
        <v>109400712.32876714</v>
      </c>
    </row>
    <row r="18" spans="1:36" x14ac:dyDescent="0.2">
      <c r="A18" s="308">
        <f t="shared" si="0"/>
        <v>41238</v>
      </c>
      <c r="B18" s="203">
        <f>IF($E$5*$E$7&lt;6," ",6)</f>
        <v>6</v>
      </c>
      <c r="C18" s="201">
        <f>IF(AND(B16=" ",B17=" ",B18=" ")," ",IF(B17=" ",SUM(C$13:C16),IF(B18=" "," ",D18+E18)))</f>
        <v>8853650</v>
      </c>
      <c r="D18" s="201">
        <f>IF(AND(B16=" ",B17=" ",B18=" ")," ",IF(B17=" ",SUM(D$13:D16),IF(B18=" "," ",ROUND(F17*E$6/E$7,2))))</f>
        <v>903650</v>
      </c>
      <c r="E18" s="201">
        <f>C5*15%</f>
        <v>7950000</v>
      </c>
      <c r="F18" s="201">
        <f>IF(AND(B16=" ",B17=" ",B18=" ")," ",IF(B17=" ",SUM(F$12:F15),IF(B18=" "," ",F17-E18)))</f>
        <v>21200000</v>
      </c>
      <c r="G18" s="201">
        <f>IF(AND(B16=" ",B17=" ",B18=" ")," ",IF(B17=" ",SUM(G$12:G16),IF(B19=" ",IF(E$5*E$7=B18,C18-C$7+C$8+G$10," "),C18)))</f>
        <v>8853650</v>
      </c>
      <c r="H18" s="204" t="str">
        <f>IF(AND(B16=" ",B17=" ",B18=" ")," ",IF(B17=" ",SUM(H$13:H16)*E$7,IF(B18=" "," ",IF(B19=" ",IF(E$5*E$7=B18,IRR(G$12:G18,0.01)," ")," "))))</f>
        <v xml:space="preserve"> </v>
      </c>
      <c r="I18" s="202">
        <f t="shared" si="1"/>
        <v>15370000</v>
      </c>
      <c r="J18" s="202">
        <f t="shared" si="2"/>
        <v>11755835.616438355</v>
      </c>
      <c r="K18" s="54"/>
      <c r="L18" s="50">
        <f>IF(L17=0,0,L16/L17)</f>
        <v>0</v>
      </c>
      <c r="M18" s="54"/>
      <c r="N18" s="50">
        <f>IF(N17=0,0,N16/N17)</f>
        <v>0</v>
      </c>
      <c r="O18" s="67" t="str">
        <f>IF($A19="","",IF($A20="",IF(YEAR($A19)=2002,SUM($D$12:$D19),""),IF(AND(YEAR($A19)=2002,YEAR($A20)=2003),SUM($D$12:$D19,$D20*(O$8-$A19)/($A20-$A19)),"")))</f>
        <v/>
      </c>
      <c r="P18" s="67" t="str">
        <f>IF($A19="","",IF($A20="",IF(YEAR($A19)=2003,SUM($D$12:$D19),""),IF(AND(YEAR($A19)=2003,YEAR($A20)=2004),SUM($D$12:$D19,$D20*(P$8-$A19)/($A20-$A19)),"")))</f>
        <v/>
      </c>
      <c r="Q18" s="67" t="str">
        <f>IF(A19="","",IF(A20="",IF(YEAR(A19)=2004,SUM(D$12:D19),""),IF(AND(YEAR(A19)=2004,YEAR(A20)=2005),SUM(D$12:D19,D20*(Q$8-A19)/(A20-A19)),"")))</f>
        <v/>
      </c>
      <c r="R18" s="67" t="str">
        <f>IF(A19="","",IF(A20="",IF(YEAR(A19)=2005,SUM(D$12:D19),""),IF(AND(YEAR(A19)=2005,YEAR(A20)=2006),SUM(D$12:D19,D20*(R$8-A19)/(A20-A19)),"")))</f>
        <v/>
      </c>
      <c r="S18" s="67" t="str">
        <f>IF(A19="","",IF(A20="",IF(YEAR(A19)=2006,SUM(D$12:D19),""),IF(AND(YEAR(A19)=2006,YEAR(A20)=2007),SUM(D$12:D19,D20*(S$8-A19)/(A20-A19)),"")))</f>
        <v/>
      </c>
      <c r="T18" s="67" t="str">
        <f>IF(A19="","",IF(A20="",IF(YEAR(A19)=2007,SUM(D$12:D19),""),IF(AND(YEAR(A19)=2007,YEAR(A20)=2008),SUM(D$12:D19,D20*(T$8-A19)/(A20-A19)),"")))</f>
        <v/>
      </c>
      <c r="U18" s="67" t="str">
        <f>IF(A19="","",IF(A20="",IF(YEAR(A19)=2008,SUM(D$12:D19),""),IF(AND(YEAR(A19)=2008,YEAR(A20)=2009),SUM(D$12:D19,D20*(U$8-A19)/(A20-A19)),"")))</f>
        <v/>
      </c>
      <c r="V18" s="67" t="str">
        <f>IF(A19="","",IF(A20="",IF(YEAR(A19)=2009,SUM(D$12:D19),""),IF(AND(YEAR(A19)=2009,YEAR(A20)=2010),SUM(D$12:D19,D20*(V$8-A19)/(A20-A19)),"")))</f>
        <v/>
      </c>
      <c r="W18" s="67" t="str">
        <f>IF(A19="","",IF(A20="",IF(YEAR(A19)=2010,SUM(D$12:D19),""),IF(AND(YEAR(A19)=2010,YEAR(A20)=2011),SUM(D$12:D19,D20*(W$8-A19)/(A20-A19)),"")))</f>
        <v/>
      </c>
      <c r="X18" s="67" t="str">
        <f>IF(A19="","",IF(A20="",IF(YEAR(A19)=2011,SUM(D$12:D19),""),IF(AND(YEAR(A19)=2011,YEAR(A20)=2012),SUM(D$12:D19,D20*(X$8-A19)/(A20-A19)),"")))</f>
        <v/>
      </c>
      <c r="Y18" s="72" t="str">
        <f>IF(A19="","",IF(A20="",IF(YEAR(A19)=2012,SUM(D$12:D19),""),IF(AND(YEAR(A19)=2012,YEAR(A20)=2013),SUM(D$12:D19,D20*(Y$8-A19)/(A20-A19)),"")))</f>
        <v/>
      </c>
      <c r="Z18" s="67" t="str">
        <f>IF($A19="","",IF($A20="",IF(YEAR($A19)=2002,SUM($J$12:$J19),""),IF(AND(YEAR($A19)=2002,YEAR($A20)=2003),SUM($J$12:$J19,$J20*(O$8-$A19)/($A20-$A19)),"")))</f>
        <v/>
      </c>
      <c r="AA18" s="67" t="str">
        <f>IF($A19="","",IF($A20="",IF(YEAR($A19)=2003,SUM($J$12:$J19),""),IF(AND(YEAR($A19)=2003,YEAR($A20)=2004),SUM($J$12:$J19,$J20*(P$8-$A19)/($A20-$A19)),"")))</f>
        <v/>
      </c>
      <c r="AB18" s="67" t="str">
        <f>IF($A19="","",IF($A20="",IF(YEAR($A19)=2004,SUM($J$12:$J19),""),IF(AND(YEAR($A19)=2004,YEAR($A20)=2005),SUM($J$12:$J19,$J20*(Q$8-$A19)/($A20-$A19)),"")))</f>
        <v/>
      </c>
      <c r="AC18" s="67" t="str">
        <f>IF($A19="","",IF($A20="",IF(YEAR($A19)=2005,SUM($J$12:$J19),""),IF(AND(YEAR($A19)=2005,YEAR($A20)=2006),SUM($J$12:$J19,$J20*(R$8-$A19)/($A20-$A19)),"")))</f>
        <v/>
      </c>
      <c r="AD18" s="67" t="str">
        <f>IF($A19="","",IF($A20="",IF(YEAR($A19)=2006,SUM($J$12:$J19),""),IF(AND(YEAR($A19)=2006,YEAR($A20)=2007),SUM($J$12:$J19,$J20*(S$8-$A19)/($A20-$A19)),"")))</f>
        <v/>
      </c>
      <c r="AE18" s="67" t="str">
        <f>IF($A19="","",IF($A20="",IF(YEAR($A19)=2007,SUM($J$12:$J19),""),IF(AND(YEAR($A19)=2007,YEAR($A20)=2008),SUM($J$12:$J19,$J20*(T$8-$A19)/($A20-$A19)),"")))</f>
        <v/>
      </c>
      <c r="AF18" s="67" t="str">
        <f>IF($A19="","",IF($A20="",IF(YEAR($A19)=2008,SUM($J$12:$J19),""),IF(AND(YEAR($A19)=2008,YEAR($A20)=2009),SUM($J$12:$J19,$J20*(U$8-$A19)/($A20-$A19)),"")))</f>
        <v/>
      </c>
      <c r="AG18" s="67" t="str">
        <f>IF($A19="","",IF($A20="",IF(YEAR($A19)=2009,SUM($J$12:$J19),""),IF(AND(YEAR($A19)=2009,YEAR($A20)=2010),SUM($J$12:$J19,$J20*(V$8-$A19)/($A20-$A19)),"")))</f>
        <v/>
      </c>
      <c r="AH18" s="67" t="str">
        <f>IF($A19="","",IF($A20="",IF(YEAR($A19)=2010,SUM($J$12:$J19),""),IF(AND(YEAR($A19)=2010,YEAR($A20)=2011),SUM($J$12:$J19,$J20*(W$8-$A19)/($A20-$A19)),"")))</f>
        <v/>
      </c>
      <c r="AI18" s="67" t="str">
        <f>IF($A19="","",IF($A20="",IF(YEAR($A19)=2011,SUM($J$12:$J19),""),IF(AND(YEAR($A19)=2011,YEAR($A20)=2012),SUM($J$12:$J19,$J20*(X$8-$A19)/($A20-$A19)),"")))</f>
        <v/>
      </c>
      <c r="AJ18" s="67" t="str">
        <f>IF($A19="","",IF($A20="",IF(YEAR($A19)=2012,SUM($J$12:$J19),""),IF(AND(YEAR($A19)=2012,YEAR($A20)=2013),SUM($J$12:$J19,$J20*(Y$8-$A19)/($A20-$A19)),"")))</f>
        <v/>
      </c>
    </row>
    <row r="19" spans="1:36" x14ac:dyDescent="0.2">
      <c r="A19" s="308">
        <f t="shared" si="0"/>
        <v>41419</v>
      </c>
      <c r="B19" s="203">
        <f>IF($E$5*$E$7&lt;7," ",7)</f>
        <v>7</v>
      </c>
      <c r="C19" s="201">
        <f>IF(AND(B17=" ",B18=" ",B19=" ")," ",IF(B18=" ",SUM(C$13:C17),IF(B19=" "," ",D19+E19)))</f>
        <v>5957200</v>
      </c>
      <c r="D19" s="201">
        <f>IF(AND(B17=" ",B18=" ",B19=" ")," ",IF(B18=" ",SUM(D$13:D17),IF(B19=" "," ",ROUND(F18*E$6/E$7,2))))</f>
        <v>657200</v>
      </c>
      <c r="E19" s="201">
        <f>C5*10%</f>
        <v>5300000</v>
      </c>
      <c r="F19" s="201">
        <f>IF(AND(B17=" ",B18=" ",B19=" ")," ",IF(B18=" ",SUM(F$12:F16),IF(B19=" "," ",F18-E19)))</f>
        <v>15900000</v>
      </c>
      <c r="G19" s="201">
        <f>IF(AND(B17=" ",B18=" ",B19=" ")," ",IF(B18=" ",SUM(G$12:G17),IF(B20=" ",IF(E$5*E$7=B19,C19-C$7+C$8+G$10," "),C19)))</f>
        <v>5957200</v>
      </c>
      <c r="H19" s="204" t="str">
        <f>IF(AND(B17=" ",B18=" ",B19=" ")," ",IF(B18=" ",SUM(H$13:H17)*E$7,IF(B19=" "," ",IF(B20=" ",IF(E$5*E$7=B19,IRR(G$12:G19,0.01)," ")," "))))</f>
        <v xml:space="preserve"> </v>
      </c>
      <c r="I19" s="202">
        <f t="shared" si="1"/>
        <v>10070000</v>
      </c>
      <c r="J19" s="202">
        <f t="shared" si="2"/>
        <v>7621835.6164383562</v>
      </c>
      <c r="K19" s="47" t="s">
        <v>439</v>
      </c>
      <c r="L19" s="48">
        <f>IF((SUM(T11:T133)-L16-L13-L10-L7-L4)&lt;0,0,SUM(T11:T133)/10000-L16-L13-L10-L7-L4)</f>
        <v>0</v>
      </c>
      <c r="M19" s="47" t="s">
        <v>520</v>
      </c>
      <c r="N19" s="48">
        <f>IF(L19=0,0,L19+L22+L25+L28+L31+L34)</f>
        <v>0</v>
      </c>
      <c r="O19" s="67" t="str">
        <f>IF($A20="","",IF($A21="",IF(YEAR($A20)=2002,SUM($D$12:$D20),""),IF(AND(YEAR($A20)=2002,YEAR($A21)=2003),SUM($D$12:$D20,$D21*(O$8-$A20)/($A21-$A20)),"")))</f>
        <v/>
      </c>
      <c r="P19" s="67" t="str">
        <f>IF($A20="","",IF($A21="",IF(YEAR($A20)=2003,SUM($D$12:$D20),""),IF(AND(YEAR($A20)=2003,YEAR($A21)=2004),SUM($D$12:$D20,$D21*(P$8-$A20)/($A21-$A20)),"")))</f>
        <v/>
      </c>
      <c r="Q19" s="67" t="str">
        <f>IF(A20="","",IF(A21="",IF(YEAR(A20)=2004,SUM(D$12:D20),""),IF(AND(YEAR(A20)=2004,YEAR(A21)=2005),SUM(D$12:D20,D21*(Q$8-A20)/(A21-A20)),"")))</f>
        <v/>
      </c>
      <c r="R19" s="67" t="str">
        <f>IF(A20="","",IF(A21="",IF(YEAR(A20)=2005,SUM(D$12:D20),""),IF(AND(YEAR(A20)=2005,YEAR(A21)=2006),SUM(D$12:D20,D21*(R$8-A20)/(A21-A20)),"")))</f>
        <v/>
      </c>
      <c r="S19" s="67" t="str">
        <f>IF(A20="","",IF(A21="",IF(YEAR(A20)=2006,SUM(D$12:D20),""),IF(AND(YEAR(A20)=2006,YEAR(A21)=2007),SUM(D$12:D20,D21*(S$8-A20)/(A21-A20)),"")))</f>
        <v/>
      </c>
      <c r="T19" s="67" t="str">
        <f>IF(A20="","",IF(A21="",IF(YEAR(A20)=2007,SUM(D$12:D20),""),IF(AND(YEAR(A20)=2007,YEAR(A21)=2008),SUM(D$12:D20,D21*(T$8-A20)/(A21-A20)),"")))</f>
        <v/>
      </c>
      <c r="U19" s="67" t="str">
        <f>IF(A20="","",IF(A21="",IF(YEAR(A20)=2008,SUM(D$12:D20),""),IF(AND(YEAR(A20)=2008,YEAR(A21)=2009),SUM(D$12:D20,D21*(U$8-A20)/(A21-A20)),"")))</f>
        <v/>
      </c>
      <c r="V19" s="67" t="str">
        <f>IF(A20="","",IF(A21="",IF(YEAR(A20)=2009,SUM(D$12:D20),""),IF(AND(YEAR(A20)=2009,YEAR(A21)=2010),SUM(D$12:D20,D21*(V$8-A20)/(A21-A20)),"")))</f>
        <v/>
      </c>
      <c r="W19" s="67" t="str">
        <f>IF(A20="","",IF(A21="",IF(YEAR(A20)=2010,SUM(D$12:D20),""),IF(AND(YEAR(A20)=2010,YEAR(A21)=2011),SUM(D$12:D20,D21*(W$8-A20)/(A21-A20)),"")))</f>
        <v/>
      </c>
      <c r="X19" s="67" t="str">
        <f>IF(A20="","",IF(A21="",IF(YEAR(A20)=2011,SUM(D$12:D20),""),IF(AND(YEAR(A20)=2011,YEAR(A21)=2012),SUM(D$12:D20,D21*(X$8-A20)/(A21-A20)),"")))</f>
        <v/>
      </c>
      <c r="Y19" s="72" t="str">
        <f>IF(A20="","",IF(A21="",IF(YEAR(A20)=2012,SUM(D$12:D20),""),IF(AND(YEAR(A20)=2012,YEAR(A21)=2013),SUM(D$12:D20,D21*(Y$8-A20)/(A21-A20)),"")))</f>
        <v/>
      </c>
      <c r="Z19" s="67" t="str">
        <f>IF($A20="","",IF($A21="",IF(YEAR($A20)=2002,SUM($J$12:$J20),""),IF(AND(YEAR($A20)=2002,YEAR($A21)=2003),SUM($J$12:$J20,$J21*(O$8-$A20)/($A21-$A20)),"")))</f>
        <v/>
      </c>
      <c r="AA19" s="67" t="str">
        <f>IF($A20="","",IF($A21="",IF(YEAR($A20)=2003,SUM($J$12:$J20),""),IF(AND(YEAR($A20)=2003,YEAR($A21)=2004),SUM($J$12:$J20,$J21*(P$8-$A20)/($A21-$A20)),"")))</f>
        <v/>
      </c>
      <c r="AB19" s="67" t="str">
        <f>IF($A20="","",IF($A21="",IF(YEAR($A20)=2004,SUM($J$12:$J20),""),IF(AND(YEAR($A20)=2004,YEAR($A21)=2005),SUM($J$12:$J20,$J21*(Q$8-$A20)/($A21-$A20)),"")))</f>
        <v/>
      </c>
      <c r="AC19" s="67" t="str">
        <f>IF($A20="","",IF($A21="",IF(YEAR($A20)=2005,SUM($J$12:$J20),""),IF(AND(YEAR($A20)=2005,YEAR($A21)=2006),SUM($J$12:$J20,$J21*(R$8-$A20)/($A21-$A20)),"")))</f>
        <v/>
      </c>
      <c r="AD19" s="67" t="str">
        <f>IF($A20="","",IF($A21="",IF(YEAR($A20)=2006,SUM($J$12:$J20),""),IF(AND(YEAR($A20)=2006,YEAR($A21)=2007),SUM($J$12:$J20,$J21*(S$8-$A20)/($A21-$A20)),"")))</f>
        <v/>
      </c>
      <c r="AE19" s="67" t="str">
        <f>IF($A20="","",IF($A21="",IF(YEAR($A20)=2007,SUM($J$12:$J20),""),IF(AND(YEAR($A20)=2007,YEAR($A21)=2008),SUM($J$12:$J20,$J21*(T$8-$A20)/($A21-$A20)),"")))</f>
        <v/>
      </c>
      <c r="AF19" s="67" t="str">
        <f>IF($A20="","",IF($A21="",IF(YEAR($A20)=2008,SUM($J$12:$J20),""),IF(AND(YEAR($A20)=2008,YEAR($A21)=2009),SUM($J$12:$J20,$J21*(U$8-$A20)/($A21-$A20)),"")))</f>
        <v/>
      </c>
      <c r="AG19" s="67" t="str">
        <f>IF($A20="","",IF($A21="",IF(YEAR($A20)=2009,SUM($J$12:$J20),""),IF(AND(YEAR($A20)=2009,YEAR($A21)=2010),SUM($J$12:$J20,$J21*(V$8-$A20)/($A21-$A20)),"")))</f>
        <v/>
      </c>
      <c r="AH19" s="67" t="str">
        <f>IF($A20="","",IF($A21="",IF(YEAR($A20)=2010,SUM($J$12:$J20),""),IF(AND(YEAR($A20)=2010,YEAR($A21)=2011),SUM($J$12:$J20,$J21*(W$8-$A20)/($A21-$A20)),"")))</f>
        <v/>
      </c>
      <c r="AI19" s="67" t="str">
        <f>IF($A20="","",IF($A21="",IF(YEAR($A20)=2011,SUM($J$12:$J20),""),IF(AND(YEAR($A20)=2011,YEAR($A21)=2012),SUM($J$12:$J20,$J21*(X$8-$A20)/($A21-$A20)),"")))</f>
        <v/>
      </c>
      <c r="AJ19" s="67" t="str">
        <f>IF($A20="","",IF($A21="",IF(YEAR($A20)=2012,SUM($J$12:$J20),""),IF(AND(YEAR($A20)=2012,YEAR($A21)=2013),SUM($J$12:$J20,$J21*(Y$8-$A20)/($A21-$A20)),"")))</f>
        <v/>
      </c>
    </row>
    <row r="20" spans="1:36" x14ac:dyDescent="0.2">
      <c r="A20" s="308">
        <f t="shared" si="0"/>
        <v>41603</v>
      </c>
      <c r="B20" s="203">
        <f>IF($E$5*$E$7&lt;8," ",8)</f>
        <v>8</v>
      </c>
      <c r="C20" s="201">
        <f>IF(AND(B18=" ",B19=" ",B20=" ")," ",IF(B19=" ",SUM(C$13:C18),IF(B20=" "," ",D20+E20)))</f>
        <v>8972900</v>
      </c>
      <c r="D20" s="201">
        <f>IF(AND(B18=" ",B19=" ",B20=" ")," ",IF(B19=" ",SUM(D$13:D18),IF(B20=" "," ",ROUND(F19*E$6/E$7,2))))</f>
        <v>492900</v>
      </c>
      <c r="E20" s="201">
        <f>C5*16%</f>
        <v>8480000</v>
      </c>
      <c r="F20" s="201">
        <f>IF(AND(B18=" ",B19=" ",B20=" ")," ",IF(B19=" ",SUM(F$12:F17),IF(B20=" "," ",F19-E20)))</f>
        <v>7420000</v>
      </c>
      <c r="G20" s="201">
        <f>IF(AND(B18=" ",B19=" ",B20=" ")," ",IF(B19=" ",SUM(G$12:G18),IF(B21=" ",IF(E$5*E$7=B20,C20-C$7+C$8+G$10," "),C20)))</f>
        <v>8972900</v>
      </c>
      <c r="H20" s="204" t="str">
        <f>IF(AND(B18=" ",B19=" ",B20=" ")," ",IF(B19=" ",SUM(H$13:H18)*E$7,IF(B20=" "," ",IF(B21=" ",IF(E$5*E$7=B20,IRR(G$12:G20,0.01)," ")," "))))</f>
        <v xml:space="preserve"> </v>
      </c>
      <c r="I20" s="202">
        <f t="shared" si="1"/>
        <v>1590000</v>
      </c>
      <c r="J20" s="202">
        <f t="shared" si="2"/>
        <v>5076383.5616438352</v>
      </c>
      <c r="K20" s="51" t="s">
        <v>440</v>
      </c>
      <c r="L20" s="48">
        <f>IF((SUM(AE11:AE133)-L17-L14-L11-L8-L5)&lt;0,0,SUM(AE11:AE133)/10000-L17-L14-L11-L8-L5)</f>
        <v>0</v>
      </c>
      <c r="M20" s="51" t="s">
        <v>698</v>
      </c>
      <c r="N20" s="48">
        <f>IF(L20=0,0,L20+L23+L26+L29+L32+L35)</f>
        <v>0</v>
      </c>
      <c r="O20" s="67" t="str">
        <f>IF($A21="","",IF($A22="",IF(YEAR($A21)=2002,SUM($D$12:$D21),""),IF(AND(YEAR($A21)=2002,YEAR($A22)=2003),SUM($D$12:$D21,$D22*(O$8-$A21)/($A22-$A21)),"")))</f>
        <v/>
      </c>
      <c r="P20" s="67" t="str">
        <f>IF($A21="","",IF($A22="",IF(YEAR($A21)=2003,SUM($D$12:$D21),""),IF(AND(YEAR($A21)=2003,YEAR($A22)=2004),SUM($D$12:$D21,$D22*(P$8-$A21)/($A22-$A21)),"")))</f>
        <v/>
      </c>
      <c r="Q20" s="67" t="str">
        <f>IF(A21="","",IF(A22="",IF(YEAR(A21)=2004,SUM(D$12:D21),""),IF(AND(YEAR(A21)=2004,YEAR(A22)=2005),SUM(D$12:D21,D22*(Q$8-A21)/(A22-A21)),"")))</f>
        <v/>
      </c>
      <c r="R20" s="67" t="str">
        <f>IF(A21="","",IF(A22="",IF(YEAR(A21)=2005,SUM(D$12:D21),""),IF(AND(YEAR(A21)=2005,YEAR(A22)=2006),SUM(D$12:D21,D22*(R$8-A21)/(A22-A21)),"")))</f>
        <v/>
      </c>
      <c r="S20" s="67" t="str">
        <f>IF(A21="","",IF(A22="",IF(YEAR(A21)=2006,SUM(D$12:D21),""),IF(AND(YEAR(A21)=2006,YEAR(A22)=2007),SUM(D$12:D21,D22*(S$8-A21)/(A22-A21)),"")))</f>
        <v/>
      </c>
      <c r="T20" s="67" t="str">
        <f>IF(A21="","",IF(A22="",IF(YEAR(A21)=2007,SUM(D$12:D21),""),IF(AND(YEAR(A21)=2007,YEAR(A22)=2008),SUM(D$12:D21,D22*(T$8-A21)/(A22-A21)),"")))</f>
        <v/>
      </c>
      <c r="U20" s="67" t="str">
        <f>IF(A21="","",IF(A22="",IF(YEAR(A21)=2008,SUM(D$12:D21),""),IF(AND(YEAR(A21)=2008,YEAR(A22)=2009),SUM(D$12:D21,D22*(U$8-A21)/(A22-A21)),"")))</f>
        <v/>
      </c>
      <c r="V20" s="67" t="str">
        <f>IF(A21="","",IF(A22="",IF(YEAR(A21)=2009,SUM(D$12:D21),""),IF(AND(YEAR(A21)=2009,YEAR(A22)=2010),SUM(D$12:D21,D22*(V$8-A21)/(A22-A21)),"")))</f>
        <v/>
      </c>
      <c r="W20" s="67" t="str">
        <f>IF(A21="","",IF(A22="",IF(YEAR(A21)=2010,SUM(D$12:D21),""),IF(AND(YEAR(A21)=2010,YEAR(A22)=2011),SUM(D$12:D21,D22*(W$8-A21)/(A22-A21)),"")))</f>
        <v/>
      </c>
      <c r="X20" s="67" t="str">
        <f>IF(A21="","",IF(A22="",IF(YEAR(A21)=2011,SUM(D$12:D21),""),IF(AND(YEAR(A21)=2011,YEAR(A22)=2012),SUM(D$12:D21,D22*(X$8-A21)/(A22-A21)),"")))</f>
        <v/>
      </c>
      <c r="Y20" s="72" t="str">
        <f>IF(A21="","",IF(A22="",IF(YEAR(A21)=2012,SUM(D$12:D21),""),IF(AND(YEAR(A21)=2012,YEAR(A22)=2013),SUM(D$12:D21,D22*(Y$8-A21)/(A22-A21)),"")))</f>
        <v/>
      </c>
      <c r="Z20" s="67" t="str">
        <f>IF($A21="","",IF($A22="",IF(YEAR($A21)=2002,SUM($J$12:$J21),""),IF(AND(YEAR($A21)=2002,YEAR($A22)=2003),SUM($J$12:$J21,$J22*(O$8-$A21)/($A22-$A21)),"")))</f>
        <v/>
      </c>
      <c r="AA20" s="67" t="str">
        <f>IF($A21="","",IF($A22="",IF(YEAR($A21)=2003,SUM($J$12:$J21),""),IF(AND(YEAR($A21)=2003,YEAR($A22)=2004),SUM($J$12:$J21,$J22*(P$8-$A21)/($A22-$A21)),"")))</f>
        <v/>
      </c>
      <c r="AB20" s="67" t="str">
        <f>IF($A21="","",IF($A22="",IF(YEAR($A21)=2004,SUM($J$12:$J21),""),IF(AND(YEAR($A21)=2004,YEAR($A22)=2005),SUM($J$12:$J21,$J22*(Q$8-$A21)/($A22-$A21)),"")))</f>
        <v/>
      </c>
      <c r="AC20" s="67" t="str">
        <f>IF($A21="","",IF($A22="",IF(YEAR($A21)=2005,SUM($J$12:$J21),""),IF(AND(YEAR($A21)=2005,YEAR($A22)=2006),SUM($J$12:$J21,$J22*(R$8-$A21)/($A22-$A21)),"")))</f>
        <v/>
      </c>
      <c r="AD20" s="67" t="str">
        <f>IF($A21="","",IF($A22="",IF(YEAR($A21)=2006,SUM($J$12:$J21),""),IF(AND(YEAR($A21)=2006,YEAR($A22)=2007),SUM($J$12:$J21,$J22*(S$8-$A21)/($A22-$A21)),"")))</f>
        <v/>
      </c>
      <c r="AE20" s="67" t="str">
        <f>IF($A21="","",IF($A22="",IF(YEAR($A21)=2007,SUM($J$12:$J21),""),IF(AND(YEAR($A21)=2007,YEAR($A22)=2008),SUM($J$12:$J21,$J22*(T$8-$A21)/($A22-$A21)),"")))</f>
        <v/>
      </c>
      <c r="AF20" s="67" t="str">
        <f>IF($A21="","",IF($A22="",IF(YEAR($A21)=2008,SUM($J$12:$J21),""),IF(AND(YEAR($A21)=2008,YEAR($A22)=2009),SUM($J$12:$J21,$J22*(U$8-$A21)/($A22-$A21)),"")))</f>
        <v/>
      </c>
      <c r="AG20" s="67" t="str">
        <f>IF($A21="","",IF($A22="",IF(YEAR($A21)=2009,SUM($J$12:$J21),""),IF(AND(YEAR($A21)=2009,YEAR($A22)=2010),SUM($J$12:$J21,$J22*(V$8-$A21)/($A22-$A21)),"")))</f>
        <v/>
      </c>
      <c r="AH20" s="67" t="str">
        <f>IF($A21="","",IF($A22="",IF(YEAR($A21)=2010,SUM($J$12:$J21),""),IF(AND(YEAR($A21)=2010,YEAR($A22)=2011),SUM($J$12:$J21,$J22*(W$8-$A21)/($A22-$A21)),"")))</f>
        <v/>
      </c>
      <c r="AI20" s="67" t="str">
        <f>IF($A21="","",IF($A22="",IF(YEAR($A21)=2011,SUM($J$12:$J21),""),IF(AND(YEAR($A21)=2011,YEAR($A22)=2012),SUM($J$12:$J21,$J22*(X$8-$A21)/($A22-$A21)),"")))</f>
        <v/>
      </c>
      <c r="AJ20" s="67" t="str">
        <f>IF($A21="","",IF($A22="",IF(YEAR($A21)=2012,SUM($J$12:$J21),""),IF(AND(YEAR($A21)=2012,YEAR($A22)=2013),SUM($J$12:$J21,$J22*(Y$8-$A21)/($A22-$A21)),"")))</f>
        <v/>
      </c>
    </row>
    <row r="21" spans="1:36" x14ac:dyDescent="0.2">
      <c r="A21" s="308">
        <f t="shared" si="0"/>
        <v>41784</v>
      </c>
      <c r="B21" s="203">
        <f>IF($E$5*$E$7&lt;9," ",9)</f>
        <v>9</v>
      </c>
      <c r="C21" s="201">
        <f>IF(AND(B19=" ",B20=" ",B21=" ")," ",IF(B20=" ",SUM(C$13:C19),IF(B21=" "," ",D21+E21)))</f>
        <v>3410020</v>
      </c>
      <c r="D21" s="201">
        <f>IF(AND(B19=" ",B20=" ",B21=" ")," ",IF(B20=" ",SUM(D$13:D19),IF(B21=" "," ",ROUND(F20*E$6/E$7,2))))</f>
        <v>230020</v>
      </c>
      <c r="E21" s="201">
        <f>C5*6%</f>
        <v>3180000</v>
      </c>
      <c r="F21" s="201">
        <f>IF(AND(B19=" ",B20=" ",B21=" ")," ",IF(B20=" ",SUM(F$12:F18),IF(B21=" "," ",F20-E21)))</f>
        <v>4240000</v>
      </c>
      <c r="G21" s="201">
        <f>IF(AND(B19=" ",B20=" ",B21=" ")," ",IF(B20=" ",SUM(G$12:G19),IF(B22=" ",IF(E$5*E$7=B21,C21-C$7+C$8+G$10," "),C21)))</f>
        <v>3410020</v>
      </c>
      <c r="H21" s="204" t="str">
        <f>IF(AND(B19=" ",B20=" ",B21=" ")," ",IF(B20=" ",SUM(H$13:H19)*E$7,IF(B21=" "," ",IF(B22=" ",IF(E$5*E$7=B21,IRR(G$12:G21,0.01)," ")," "))))</f>
        <v xml:space="preserve"> </v>
      </c>
      <c r="I21" s="202">
        <f t="shared" si="1"/>
        <v>-1590000</v>
      </c>
      <c r="J21" s="202">
        <f t="shared" si="2"/>
        <v>788465.75342465751</v>
      </c>
      <c r="K21" s="54"/>
      <c r="L21" s="50">
        <f>IF(L20=0,0,L19/L20)</f>
        <v>0</v>
      </c>
      <c r="M21" s="54"/>
      <c r="N21" s="50">
        <f>IF(N20=0,0,N19/N20)</f>
        <v>0</v>
      </c>
      <c r="O21" s="67" t="str">
        <f>IF($A22="","",IF($A23="",IF(YEAR($A22)=2002,SUM($D$12:$D22),""),IF(AND(YEAR($A22)=2002,YEAR($A23)=2003),SUM($D$12:$D22,$D23*(O$8-$A22)/($A23-$A22)),"")))</f>
        <v/>
      </c>
      <c r="P21" s="67" t="str">
        <f>IF($A22="","",IF($A23="",IF(YEAR($A22)=2003,SUM($D$12:$D22),""),IF(AND(YEAR($A22)=2003,YEAR($A23)=2004),SUM($D$12:$D22,$D23*(P$8-$A22)/($A23-$A22)),"")))</f>
        <v/>
      </c>
      <c r="Q21" s="67" t="str">
        <f>IF(A22="","",IF(A23="",IF(YEAR(A22)=2004,SUM(D$12:D22),""),IF(AND(YEAR(A22)=2004,YEAR(A23)=2005),SUM(D$12:D22,D23*(Q$8-A22)/(A23-A22)),"")))</f>
        <v/>
      </c>
      <c r="R21" s="67" t="str">
        <f>IF(A22="","",IF(A23="",IF(YEAR(A22)=2005,SUM(D$12:D22),""),IF(AND(YEAR(A22)=2005,YEAR(A23)=2006),SUM(D$12:D22,D23*(R$8-A22)/(A23-A22)),"")))</f>
        <v/>
      </c>
      <c r="S21" s="67" t="str">
        <f>IF(A22="","",IF(A23="",IF(YEAR(A22)=2006,SUM(D$12:D22),""),IF(AND(YEAR(A22)=2006,YEAR(A23)=2007),SUM(D$12:D22,D23*(S$8-A22)/(A23-A22)),"")))</f>
        <v/>
      </c>
      <c r="T21" s="67" t="str">
        <f>IF(A22="","",IF(A23="",IF(YEAR(A22)=2007,SUM(D$12:D22),""),IF(AND(YEAR(A22)=2007,YEAR(A23)=2008),SUM(D$12:D22,D23*(T$8-A22)/(A23-A22)),"")))</f>
        <v/>
      </c>
      <c r="U21" s="67" t="str">
        <f>IF(A22="","",IF(A23="",IF(YEAR(A22)=2008,SUM(D$12:D22),""),IF(AND(YEAR(A22)=2008,YEAR(A23)=2009),SUM(D$12:D22,D23*(U$8-A22)/(A23-A22)),"")))</f>
        <v/>
      </c>
      <c r="V21" s="67" t="str">
        <f>IF(A22="","",IF(A23="",IF(YEAR(A22)=2009,SUM(D$12:D22),""),IF(AND(YEAR(A22)=2009,YEAR(A23)=2010),SUM(D$12:D22,D23*(V$8-A22)/(A23-A22)),"")))</f>
        <v/>
      </c>
      <c r="W21" s="67" t="str">
        <f>IF(A22="","",IF(A23="",IF(YEAR(A22)=2010,SUM(D$12:D22),""),IF(AND(YEAR(A22)=2010,YEAR(A23)=2011),SUM(D$12:D22,D23*(W$8-A22)/(A23-A22)),"")))</f>
        <v/>
      </c>
      <c r="X21" s="67" t="str">
        <f>IF(A22="","",IF(A23="",IF(YEAR(A22)=2011,SUM(D$12:D22),""),IF(AND(YEAR(A22)=2011,YEAR(A23)=2012),SUM(D$12:D22,D23*(X$8-A22)/(A23-A22)),"")))</f>
        <v/>
      </c>
      <c r="Y21" s="72" t="str">
        <f>IF(A22="","",IF(A23="",IF(YEAR(A22)=2012,SUM(D$12:D22),""),IF(AND(YEAR(A22)=2012,YEAR(A23)=2013),SUM(D$12:D22,D23*(Y$8-A22)/(A23-A22)),"")))</f>
        <v/>
      </c>
      <c r="Z21" s="67" t="str">
        <f>IF($A22="","",IF($A23="",IF(YEAR($A22)=2002,SUM($J$12:$J22),""),IF(AND(YEAR($A22)=2002,YEAR($A23)=2003),SUM($J$12:$J22,$J23*(O$8-$A22)/($A23-$A22)),"")))</f>
        <v/>
      </c>
      <c r="AA21" s="67" t="str">
        <f>IF($A22="","",IF($A23="",IF(YEAR($A22)=2003,SUM($J$12:$J22),""),IF(AND(YEAR($A22)=2003,YEAR($A23)=2004),SUM($J$12:$J22,$J23*(P$8-$A22)/($A23-$A22)),"")))</f>
        <v/>
      </c>
      <c r="AB21" s="67" t="str">
        <f>IF($A22="","",IF($A23="",IF(YEAR($A22)=2004,SUM($J$12:$J22),""),IF(AND(YEAR($A22)=2004,YEAR($A23)=2005),SUM($J$12:$J22,$J23*(Q$8-$A22)/($A23-$A22)),"")))</f>
        <v/>
      </c>
      <c r="AC21" s="67" t="str">
        <f>IF($A22="","",IF($A23="",IF(YEAR($A22)=2005,SUM($J$12:$J22),""),IF(AND(YEAR($A22)=2005,YEAR($A23)=2006),SUM($J$12:$J22,$J23*(R$8-$A22)/($A23-$A22)),"")))</f>
        <v/>
      </c>
      <c r="AD21" s="67" t="str">
        <f>IF($A22="","",IF($A23="",IF(YEAR($A22)=2006,SUM($J$12:$J22),""),IF(AND(YEAR($A22)=2006,YEAR($A23)=2007),SUM($J$12:$J22,$J23*(S$8-$A22)/($A23-$A22)),"")))</f>
        <v/>
      </c>
      <c r="AE21" s="67" t="str">
        <f>IF($A22="","",IF($A23="",IF(YEAR($A22)=2007,SUM($J$12:$J22),""),IF(AND(YEAR($A22)=2007,YEAR($A23)=2008),SUM($J$12:$J22,$J23*(T$8-$A22)/($A23-$A22)),"")))</f>
        <v/>
      </c>
      <c r="AF21" s="67" t="str">
        <f>IF($A22="","",IF($A23="",IF(YEAR($A22)=2008,SUM($J$12:$J22),""),IF(AND(YEAR($A22)=2008,YEAR($A23)=2009),SUM($J$12:$J22,$J23*(U$8-$A22)/($A23-$A22)),"")))</f>
        <v/>
      </c>
      <c r="AG21" s="67" t="str">
        <f>IF($A22="","",IF($A23="",IF(YEAR($A22)=2009,SUM($J$12:$J22),""),IF(AND(YEAR($A22)=2009,YEAR($A23)=2010),SUM($J$12:$J22,$J23*(V$8-$A22)/($A23-$A22)),"")))</f>
        <v/>
      </c>
      <c r="AH21" s="67" t="str">
        <f>IF($A22="","",IF($A23="",IF(YEAR($A22)=2010,SUM($J$12:$J22),""),IF(AND(YEAR($A22)=2010,YEAR($A23)=2011),SUM($J$12:$J22,$J23*(W$8-$A22)/($A23-$A22)),"")))</f>
        <v/>
      </c>
      <c r="AI21" s="67" t="str">
        <f>IF($A22="","",IF($A23="",IF(YEAR($A22)=2011,SUM($J$12:$J22),""),IF(AND(YEAR($A22)=2011,YEAR($A23)=2012),SUM($J$12:$J22,$J23*(X$8-$A22)/($A23-$A22)),"")))</f>
        <v/>
      </c>
      <c r="AJ21" s="67" t="str">
        <f>IF($A22="","",IF($A23="",IF(YEAR($A22)=2012,SUM($J$12:$J22),""),IF(AND(YEAR($A22)=2012,YEAR($A23)=2013),SUM($J$12:$J22,$J23*(Y$8-$A22)/($A23-$A22)),"")))</f>
        <v/>
      </c>
    </row>
    <row r="22" spans="1:36" x14ac:dyDescent="0.2">
      <c r="A22" s="308">
        <f t="shared" si="0"/>
        <v>41968</v>
      </c>
      <c r="B22" s="203">
        <f>IF($E$5*$E$7&lt;10," ",10)</f>
        <v>10</v>
      </c>
      <c r="C22" s="201">
        <f>IF(AND(B20=" ",B21=" ",B22=" ")," ",IF(B21=" ",SUM(C$13:C20),IF(B22=" "," ",D22+E22)))</f>
        <v>4371440</v>
      </c>
      <c r="D22" s="201">
        <f>IF(AND(B20=" ",B21=" ",B22=" ")," ",IF(B21=" ",SUM(D$13:D20),IF(B22=" "," ",ROUND(F21*E$6/E$7,2))))</f>
        <v>131440</v>
      </c>
      <c r="E22" s="201">
        <f>C5*8%</f>
        <v>4240000</v>
      </c>
      <c r="F22" s="201">
        <f>IF(AND(B20=" ",B21=" ",B22=" ")," ",IF(B21=" ",SUM(F$12:F19),IF(B22=" "," ",F21-E22)))</f>
        <v>0</v>
      </c>
      <c r="G22" s="201">
        <f>IF(AND(B20=" ",B21=" ",B22=" ")," ",IF(B21=" ",SUM(G$12:G20),IF(B23=" ",IF(E$5*E$7=B22,C22-C$7+C$8+G$10," "),C22)))</f>
        <v>-1458560</v>
      </c>
      <c r="H22" s="204">
        <f>IF(AND(B20=" ",B21=" ",B22=" ")," ",IF(B21=" ",SUM(H$13:H20)*E$7,IF(B22=" "," ",IF(B23=" ",IF(E$5*E$7=B22,IRR(G$12:G22,0.01)," ")," "))))</f>
        <v>5.7889166192462538E-2</v>
      </c>
      <c r="I22" s="202" t="str">
        <f t="shared" si="1"/>
        <v/>
      </c>
      <c r="J22" s="202">
        <f t="shared" si="2"/>
        <v>-801534.24657534249</v>
      </c>
      <c r="K22" s="47" t="s">
        <v>441</v>
      </c>
      <c r="L22" s="48">
        <f>IF((SUM(U11:U133)-L19-L16-L13-L10-L7-L4)&lt;0,0,SUM(U11:U133)/10000-L19-L16-L13-L10-L7-L4)</f>
        <v>0</v>
      </c>
      <c r="M22" s="47" t="s">
        <v>442</v>
      </c>
      <c r="N22" s="48">
        <f>IF(L22=0,0,L22+L25+L28+L31+L34)</f>
        <v>0</v>
      </c>
      <c r="O22" s="67" t="str">
        <f>IF($A23="","",IF($A24="",IF(YEAR($A23)=2002,SUM($D$12:$D23),""),IF(AND(YEAR($A23)=2002,YEAR($A24)=2003),SUM($D$12:$D23,$D24*(O$8-$A23)/($A24-$A23)),"")))</f>
        <v/>
      </c>
      <c r="P22" s="67" t="str">
        <f>IF($A23="","",IF($A24="",IF(YEAR($A23)=2003,SUM($D$12:$D23),""),IF(AND(YEAR($A23)=2003,YEAR($A24)=2004),SUM($D$12:$D23,$D24*(P$8-$A23)/($A24-$A23)),"")))</f>
        <v/>
      </c>
      <c r="Q22" s="67" t="str">
        <f>IF(A23="","",IF(A24="",IF(YEAR(A23)=2004,SUM(D$12:D23),""),IF(AND(YEAR(A23)=2004,YEAR(A24)=2005),SUM(D$12:D23,D24*(Q$8-A23)/(A24-A23)),"")))</f>
        <v/>
      </c>
      <c r="R22" s="67" t="str">
        <f>IF(A23="","",IF(A24="",IF(YEAR(A23)=2005,SUM(D$12:D23),""),IF(AND(YEAR(A23)=2005,YEAR(A24)=2006),SUM(D$12:D23,D24*(R$8-A23)/(A24-A23)),"")))</f>
        <v/>
      </c>
      <c r="S22" s="67" t="str">
        <f>IF(A23="","",IF(A24="",IF(YEAR(A23)=2006,SUM(D$12:D23),""),IF(AND(YEAR(A23)=2006,YEAR(A24)=2007),SUM(D$12:D23,D24*(S$8-A23)/(A24-A23)),"")))</f>
        <v/>
      </c>
      <c r="T22" s="67" t="str">
        <f>IF(A23="","",IF(A24="",IF(YEAR(A23)=2007,SUM(D$12:D23),""),IF(AND(YEAR(A23)=2007,YEAR(A24)=2008),SUM(D$12:D23,D24*(T$8-A23)/(A24-A23)),"")))</f>
        <v/>
      </c>
      <c r="U22" s="67" t="str">
        <f>IF(A23="","",IF(A24="",IF(YEAR(A23)=2008,SUM(D$12:D23),""),IF(AND(YEAR(A23)=2008,YEAR(A24)=2009),SUM(D$12:D23,D24*(U$8-A23)/(A24-A23)),"")))</f>
        <v/>
      </c>
      <c r="V22" s="67" t="str">
        <f>IF(A23="","",IF(A24="",IF(YEAR(A23)=2009,SUM(D$12:D23),""),IF(AND(YEAR(A23)=2009,YEAR(A24)=2010),SUM(D$12:D23,D24*(V$8-A23)/(A24-A23)),"")))</f>
        <v/>
      </c>
      <c r="W22" s="67" t="str">
        <f>IF(A23="","",IF(A24="",IF(YEAR(A23)=2010,SUM(D$12:D23),""),IF(AND(YEAR(A23)=2010,YEAR(A24)=2011),SUM(D$12:D23,D24*(W$8-A23)/(A24-A23)),"")))</f>
        <v/>
      </c>
      <c r="X22" s="67" t="str">
        <f>IF(A23="","",IF(A24="",IF(YEAR(A23)=2011,SUM(D$12:D23),""),IF(AND(YEAR(A23)=2011,YEAR(A24)=2012),SUM(D$12:D23,D24*(X$8-A23)/(A24-A23)),"")))</f>
        <v/>
      </c>
      <c r="Y22" s="72" t="str">
        <f>IF(A23="","",IF(A24="",IF(YEAR(A23)=2012,SUM(D$12:D23),""),IF(AND(YEAR(A23)=2012,YEAR(A24)=2013),SUM(D$12:D23,D24*(Y$8-A23)/(A24-A23)),"")))</f>
        <v/>
      </c>
      <c r="Z22" s="67" t="str">
        <f>IF($A23="","",IF($A24="",IF(YEAR($A23)=2002,SUM($J$12:$J23),""),IF(AND(YEAR($A23)=2002,YEAR($A24)=2003),SUM($J$12:$J23,$J24*(O$8-$A23)/($A24-$A23)),"")))</f>
        <v/>
      </c>
      <c r="AA22" s="67" t="str">
        <f>IF($A23="","",IF($A24="",IF(YEAR($A23)=2003,SUM($J$12:$J23),""),IF(AND(YEAR($A23)=2003,YEAR($A24)=2004),SUM($J$12:$J23,$J24*(P$8-$A23)/($A24-$A23)),"")))</f>
        <v/>
      </c>
      <c r="AB22" s="67" t="str">
        <f>IF($A23="","",IF($A24="",IF(YEAR($A23)=2004,SUM($J$12:$J23),""),IF(AND(YEAR($A23)=2004,YEAR($A24)=2005),SUM($J$12:$J23,$J24*(Q$8-$A23)/($A24-$A23)),"")))</f>
        <v/>
      </c>
      <c r="AC22" s="67" t="str">
        <f>IF($A23="","",IF($A24="",IF(YEAR($A23)=2005,SUM($J$12:$J23),""),IF(AND(YEAR($A23)=2005,YEAR($A24)=2006),SUM($J$12:$J23,$J24*(R$8-$A23)/($A24-$A23)),"")))</f>
        <v/>
      </c>
      <c r="AD22" s="67" t="str">
        <f>IF($A23="","",IF($A24="",IF(YEAR($A23)=2006,SUM($J$12:$J23),""),IF(AND(YEAR($A23)=2006,YEAR($A24)=2007),SUM($J$12:$J23,$J24*(S$8-$A23)/($A24-$A23)),"")))</f>
        <v/>
      </c>
      <c r="AE22" s="67" t="str">
        <f>IF($A23="","",IF($A24="",IF(YEAR($A23)=2007,SUM($J$12:$J23),""),IF(AND(YEAR($A23)=2007,YEAR($A24)=2008),SUM($J$12:$J23,$J24*(T$8-$A23)/($A24-$A23)),"")))</f>
        <v/>
      </c>
      <c r="AF22" s="67" t="str">
        <f>IF($A23="","",IF($A24="",IF(YEAR($A23)=2008,SUM($J$12:$J23),""),IF(AND(YEAR($A23)=2008,YEAR($A24)=2009),SUM($J$12:$J23,$J24*(U$8-$A23)/($A24-$A23)),"")))</f>
        <v/>
      </c>
      <c r="AG22" s="67" t="str">
        <f>IF($A23="","",IF($A24="",IF(YEAR($A23)=2009,SUM($J$12:$J23),""),IF(AND(YEAR($A23)=2009,YEAR($A24)=2010),SUM($J$12:$J23,$J24*(V$8-$A23)/($A24-$A23)),"")))</f>
        <v/>
      </c>
      <c r="AH22" s="67" t="str">
        <f>IF($A23="","",IF($A24="",IF(YEAR($A23)=2010,SUM($J$12:$J23),""),IF(AND(YEAR($A23)=2010,YEAR($A24)=2011),SUM($J$12:$J23,$J24*(W$8-$A23)/($A24-$A23)),"")))</f>
        <v/>
      </c>
      <c r="AI22" s="67" t="str">
        <f>IF($A23="","",IF($A24="",IF(YEAR($A23)=2011,SUM($J$12:$J23),""),IF(AND(YEAR($A23)=2011,YEAR($A24)=2012),SUM($J$12:$J23,$J24*(X$8-$A23)/($A24-$A23)),"")))</f>
        <v/>
      </c>
      <c r="AJ22" s="67" t="str">
        <f>IF($A23="","",IF($A24="",IF(YEAR($A23)=2012,SUM($J$12:$J23),""),IF(AND(YEAR($A23)=2012,YEAR($A24)=2013),SUM($J$12:$J23,$J24*(Y$8-$A23)/($A24-$A23)),"")))</f>
        <v/>
      </c>
    </row>
    <row r="23" spans="1:36" x14ac:dyDescent="0.2">
      <c r="A23" s="308" t="str">
        <f t="shared" si="0"/>
        <v/>
      </c>
      <c r="B23" s="203" t="str">
        <f>IF($E$5*$E$7&lt;11," ",11)</f>
        <v xml:space="preserve"> </v>
      </c>
      <c r="C23" s="201" t="str">
        <f>IF(AND(B21=" ",B22=" ",B23=" ")," ",IF(B22=" ",SUM(C$13:C21),IF(B23=" "," ",D23+E23)))</f>
        <v xml:space="preserve"> </v>
      </c>
      <c r="D23" s="201" t="str">
        <f>IF(AND(B21=" ",B22=" ",B23=" ")," ",IF(B22=" ",SUM(D$13:D21),IF(B23=" "," ",ROUND(F22*E$6/E$7,2))))</f>
        <v xml:space="preserve"> </v>
      </c>
      <c r="E23" s="201" t="str">
        <f>IF(AND(B21=" ",B22=" ",B23=" ")," ",IF(B22=" ",SUM(E$13:E21),IF(B23=" "," ",E$8)))</f>
        <v xml:space="preserve"> </v>
      </c>
      <c r="F23" s="201" t="str">
        <f>IF(AND(B21=" ",B22=" ",B23=" ")," ",IF(B22=" ",SUM(F$12:F20),IF(B23=" "," ",F22-E23)))</f>
        <v xml:space="preserve"> </v>
      </c>
      <c r="G23" s="201" t="str">
        <f>IF(AND(B21=" ",B22=" ",B23=" ")," ",IF(B22=" ",SUM(G$12:G21),IF(B24=" ",IF(E$5*E$7=B23,C23-C$7+C$8+G$10," "),C23)))</f>
        <v xml:space="preserve"> </v>
      </c>
      <c r="H23" s="204" t="str">
        <f>IF(AND(B21=" ",B22=" ",B23=" ")," ",IF(B22=" ",SUM(H$13:H21)*E$7,IF(B23=" "," ",IF(B24=" ",IF(E$5*E$7=B23,IRR(G$12:G23,0.01)," ")," "))))</f>
        <v xml:space="preserve"> </v>
      </c>
      <c r="I23" s="202" t="str">
        <f t="shared" si="1"/>
        <v/>
      </c>
      <c r="J23" s="202" t="str">
        <f t="shared" si="2"/>
        <v/>
      </c>
      <c r="K23" s="53" t="s">
        <v>443</v>
      </c>
      <c r="L23" s="48">
        <f>IF((SUM(AF11:AF133)-L20-L17-L14-L11-L8-L5)&lt;0,0,SUM(AF11:AF133)/10000-L20-L17-L14-L11-L8-L5)</f>
        <v>0</v>
      </c>
      <c r="M23" s="53" t="s">
        <v>521</v>
      </c>
      <c r="N23" s="48">
        <f>IF(L23=0,0,L23+L26+L29+L32+L35)</f>
        <v>0</v>
      </c>
      <c r="O23" s="67" t="str">
        <f>IF($A24="","",IF($A25="",IF(YEAR($A24)=2002,SUM($D$12:$D24),""),IF(AND(YEAR($A24)=2002,YEAR($A25)=2003),SUM($D$12:$D24,$D25*(O$8-$A24)/($A25-$A24)),"")))</f>
        <v/>
      </c>
      <c r="P23" s="67" t="str">
        <f>IF($A24="","",IF($A25="",IF(YEAR($A24)=2003,SUM($D$12:$D24),""),IF(AND(YEAR($A24)=2003,YEAR($A25)=2004),SUM($D$12:$D24,$D25*(P$8-$A24)/($A25-$A24)),"")))</f>
        <v/>
      </c>
      <c r="Q23" s="67" t="str">
        <f>IF(A24="","",IF(A25="",IF(YEAR(A24)=2004,SUM(D$12:D24),""),IF(AND(YEAR(A24)=2004,YEAR(A25)=2005),SUM(D$12:D24,D25*(Q$8-A24)/(A25-A24)),"")))</f>
        <v/>
      </c>
      <c r="R23" s="67" t="str">
        <f>IF(A24="","",IF(A25="",IF(YEAR(A24)=2005,SUM(D$12:D24),""),IF(AND(YEAR(A24)=2005,YEAR(A25)=2006),SUM(D$12:D24,D25*(R$8-A24)/(A25-A24)),"")))</f>
        <v/>
      </c>
      <c r="S23" s="67" t="str">
        <f>IF(A24="","",IF(A25="",IF(YEAR(A24)=2006,SUM(D$12:D24),""),IF(AND(YEAR(A24)=2006,YEAR(A25)=2007),SUM(D$12:D24,D25*(S$8-A24)/(A25-A24)),"")))</f>
        <v/>
      </c>
      <c r="T23" s="67" t="str">
        <f>IF(A24="","",IF(A25="",IF(YEAR(A24)=2007,SUM(D$12:D24),""),IF(AND(YEAR(A24)=2007,YEAR(A25)=2008),SUM(D$12:D24,D25*(T$8-A24)/(A25-A24)),"")))</f>
        <v/>
      </c>
      <c r="U23" s="67" t="str">
        <f>IF(A24="","",IF(A25="",IF(YEAR(A24)=2008,SUM(D$12:D24),""),IF(AND(YEAR(A24)=2008,YEAR(A25)=2009),SUM(D$12:D24,D25*(U$8-A24)/(A25-A24)),"")))</f>
        <v/>
      </c>
      <c r="V23" s="67" t="str">
        <f>IF(A24="","",IF(A25="",IF(YEAR(A24)=2009,SUM(D$12:D24),""),IF(AND(YEAR(A24)=2009,YEAR(A25)=2010),SUM(D$12:D24,D25*(V$8-A24)/(A25-A24)),"")))</f>
        <v/>
      </c>
      <c r="W23" s="67" t="str">
        <f>IF(A24="","",IF(A25="",IF(YEAR(A24)=2010,SUM(D$12:D24),""),IF(AND(YEAR(A24)=2010,YEAR(A25)=2011),SUM(D$12:D24,D25*(W$8-A24)/(A25-A24)),"")))</f>
        <v/>
      </c>
      <c r="X23" s="67" t="str">
        <f>IF(A24="","",IF(A25="",IF(YEAR(A24)=2011,SUM(D$12:D24),""),IF(AND(YEAR(A24)=2011,YEAR(A25)=2012),SUM(D$12:D24,D25*(X$8-A24)/(A25-A24)),"")))</f>
        <v/>
      </c>
      <c r="Y23" s="72" t="str">
        <f>IF(A24="","",IF(A25="",IF(YEAR(A24)=2012,SUM(D$12:D24),""),IF(AND(YEAR(A24)=2012,YEAR(A25)=2013),SUM(D$12:D24,D25*(Y$8-A24)/(A25-A24)),"")))</f>
        <v/>
      </c>
      <c r="Z23" s="67" t="str">
        <f>IF($A24="","",IF($A25="",IF(YEAR($A24)=2002,SUM($J$12:$J24),""),IF(AND(YEAR($A24)=2002,YEAR($A25)=2003),SUM($J$12:$J24,$J25*(O$8-$A24)/($A25-$A24)),"")))</f>
        <v/>
      </c>
      <c r="AA23" s="67" t="str">
        <f>IF($A24="","",IF($A25="",IF(YEAR($A24)=2003,SUM($J$12:$J24),""),IF(AND(YEAR($A24)=2003,YEAR($A25)=2004),SUM($J$12:$J24,$J25*(P$8-$A24)/($A25-$A24)),"")))</f>
        <v/>
      </c>
      <c r="AB23" s="67" t="str">
        <f>IF($A24="","",IF($A25="",IF(YEAR($A24)=2004,SUM($J$12:$J24),""),IF(AND(YEAR($A24)=2004,YEAR($A25)=2005),SUM($J$12:$J24,$J25*(Q$8-$A24)/($A25-$A24)),"")))</f>
        <v/>
      </c>
      <c r="AC23" s="67" t="str">
        <f>IF($A24="","",IF($A25="",IF(YEAR($A24)=2005,SUM($J$12:$J24),""),IF(AND(YEAR($A24)=2005,YEAR($A25)=2006),SUM($J$12:$J24,$J25*(R$8-$A24)/($A25-$A24)),"")))</f>
        <v/>
      </c>
      <c r="AD23" s="67" t="str">
        <f>IF($A24="","",IF($A25="",IF(YEAR($A24)=2006,SUM($J$12:$J24),""),IF(AND(YEAR($A24)=2006,YEAR($A25)=2007),SUM($J$12:$J24,$J25*(S$8-$A24)/($A25-$A24)),"")))</f>
        <v/>
      </c>
      <c r="AE23" s="67" t="str">
        <f>IF($A24="","",IF($A25="",IF(YEAR($A24)=2007,SUM($J$12:$J24),""),IF(AND(YEAR($A24)=2007,YEAR($A25)=2008),SUM($J$12:$J24,$J25*(T$8-$A24)/($A25-$A24)),"")))</f>
        <v/>
      </c>
      <c r="AF23" s="67" t="str">
        <f>IF($A24="","",IF($A25="",IF(YEAR($A24)=2008,SUM($J$12:$J24),""),IF(AND(YEAR($A24)=2008,YEAR($A25)=2009),SUM($J$12:$J24,$J25*(U$8-$A24)/($A25-$A24)),"")))</f>
        <v/>
      </c>
      <c r="AG23" s="67" t="str">
        <f>IF($A24="","",IF($A25="",IF(YEAR($A24)=2009,SUM($J$12:$J24),""),IF(AND(YEAR($A24)=2009,YEAR($A25)=2010),SUM($J$12:$J24,$J25*(V$8-$A24)/($A25-$A24)),"")))</f>
        <v/>
      </c>
      <c r="AH23" s="67" t="str">
        <f>IF($A24="","",IF($A25="",IF(YEAR($A24)=2010,SUM($J$12:$J24),""),IF(AND(YEAR($A24)=2010,YEAR($A25)=2011),SUM($J$12:$J24,$J25*(W$8-$A24)/($A25-$A24)),"")))</f>
        <v/>
      </c>
      <c r="AI23" s="67" t="str">
        <f>IF($A24="","",IF($A25="",IF(YEAR($A24)=2011,SUM($J$12:$J24),""),IF(AND(YEAR($A24)=2011,YEAR($A25)=2012),SUM($J$12:$J24,$J25*(X$8-$A24)/($A25-$A24)),"")))</f>
        <v/>
      </c>
      <c r="AJ23" s="67" t="str">
        <f>IF($A24="","",IF($A25="",IF(YEAR($A24)=2012,SUM($J$12:$J24),""),IF(AND(YEAR($A24)=2012,YEAR($A25)=2013),SUM($J$12:$J24,$J25*(Y$8-$A24)/($A25-$A24)),"")))</f>
        <v/>
      </c>
    </row>
    <row r="24" spans="1:36" x14ac:dyDescent="0.2">
      <c r="A24" s="308" t="str">
        <f t="shared" si="0"/>
        <v/>
      </c>
      <c r="B24" s="203" t="str">
        <f>IF($E$5*$E$7&lt;12," ",12)</f>
        <v xml:space="preserve"> </v>
      </c>
      <c r="C24" s="201">
        <f>IF(AND(B22=" ",B23=" ",B24=" ")," ",IF(B23=" ",SUM(C$13:C22),IF(B24=" "," ",D24+E24)))</f>
        <v>62282950</v>
      </c>
      <c r="D24" s="201">
        <f>IF(AND(B22=" ",B23=" ",B24=" ")," ",IF(B23=" ",SUM(D$13:D22),IF(B24=" "," ",ROUND(F23*E$6/E$7,2))))</f>
        <v>9282950</v>
      </c>
      <c r="E24" s="201">
        <f>IF(AND(B22=" ",B23=" ",B24=" ")," ",IF(B23=" ",SUM(E$13:E22),IF(B24=" "," ",E$8)))</f>
        <v>53000000</v>
      </c>
      <c r="F24" s="201">
        <f>IF(AND(B22=" ",B23=" ",B24=" ")," ",IF(B23=" ",SUM(F$12:F21),IF(B24=" "," ",F23-E24)))</f>
        <v>299450000</v>
      </c>
      <c r="G24" s="201">
        <f>IF(AND(B22=" ",B23=" ",B24=" ")," ",IF(B23=" ",SUM(G$12:G22),IF(B25=" ",IF(E$5*E$7=B24,C24-C$7+C$8+G$10," "),C24)))</f>
        <v>13522950</v>
      </c>
      <c r="H24" s="204">
        <f>IF(AND(B22=" ",B23=" ",B24=" ")," ",IF(B23=" ",SUM(H$13:H22)*E$7,IF(B24=" "," ",IF(B25=" ",IF(E$5*E$7=B24,IRR(G$12:G24,0.01)," ")," "))))</f>
        <v>0.11577833238492508</v>
      </c>
      <c r="I24" s="202" t="str">
        <f t="shared" si="1"/>
        <v/>
      </c>
      <c r="J24" s="202" t="str">
        <f t="shared" si="2"/>
        <v/>
      </c>
      <c r="K24" s="54"/>
      <c r="L24" s="50">
        <f>IF(L23=0,0,L22/L23)</f>
        <v>0</v>
      </c>
      <c r="M24" s="54"/>
      <c r="N24" s="50">
        <f>IF(N23=0,0,N22/N23)</f>
        <v>0</v>
      </c>
      <c r="O24" s="67" t="str">
        <f>IF($A25="","",IF($A26="",IF(YEAR($A25)=2002,SUM($D$12:$D25),""),IF(AND(YEAR($A25)=2002,YEAR($A26)=2003),SUM($D$12:$D25,$D26*(O$8-$A25)/($A26-$A25)),"")))</f>
        <v/>
      </c>
      <c r="P24" s="67" t="str">
        <f>IF($A25="","",IF($A26="",IF(YEAR($A25)=2003,SUM($D$12:$D25),""),IF(AND(YEAR($A25)=2003,YEAR($A26)=2004),SUM($D$12:$D25,$D26*(P$8-$A25)/($A26-$A25)),"")))</f>
        <v/>
      </c>
      <c r="Q24" s="67" t="str">
        <f>IF(A25="","",IF(A26="",IF(YEAR(A25)=2004,SUM(D$12:D25),""),IF(AND(YEAR(A25)=2004,YEAR(A26)=2005),SUM(D$12:D25,D26*(Q$8-A25)/(A26-A25)),"")))</f>
        <v/>
      </c>
      <c r="R24" s="67" t="str">
        <f>IF(A25="","",IF(A26="",IF(YEAR(A25)=2005,SUM(D$12:D25),""),IF(AND(YEAR(A25)=2005,YEAR(A26)=2006),SUM(D$12:D25,D26*(R$8-A25)/(A26-A25)),"")))</f>
        <v/>
      </c>
      <c r="S24" s="67" t="str">
        <f>IF(A25="","",IF(A26="",IF(YEAR(A25)=2006,SUM(D$12:D25),""),IF(AND(YEAR(A25)=2006,YEAR(A26)=2007),SUM(D$12:D25,D26*(S$8-A25)/(A26-A25)),"")))</f>
        <v/>
      </c>
      <c r="T24" s="67" t="str">
        <f>IF(A25="","",IF(A26="",IF(YEAR(A25)=2007,SUM(D$12:D25),""),IF(AND(YEAR(A25)=2007,YEAR(A26)=2008),SUM(D$12:D25,D26*(T$8-A25)/(A26-A25)),"")))</f>
        <v/>
      </c>
      <c r="U24" s="67" t="str">
        <f>IF(A25="","",IF(A26="",IF(YEAR(A25)=2008,SUM(D$12:D25),""),IF(AND(YEAR(A25)=2008,YEAR(A26)=2009),SUM(D$12:D25,D26*(U$8-A25)/(A26-A25)),"")))</f>
        <v/>
      </c>
      <c r="V24" s="67" t="str">
        <f>IF(A25="","",IF(A26="",IF(YEAR(A25)=2009,SUM(D$12:D25),""),IF(AND(YEAR(A25)=2009,YEAR(A26)=2010),SUM(D$12:D25,D26*(V$8-A25)/(A26-A25)),"")))</f>
        <v/>
      </c>
      <c r="W24" s="67" t="str">
        <f>IF(A25="","",IF(A26="",IF(YEAR(A25)=2010,SUM(D$12:D25),""),IF(AND(YEAR(A25)=2010,YEAR(A26)=2011),SUM(D$12:D25,D26*(W$8-A25)/(A26-A25)),"")))</f>
        <v/>
      </c>
      <c r="X24" s="67" t="str">
        <f>IF(A25="","",IF(A26="",IF(YEAR(A25)=2011,SUM(D$12:D25),""),IF(AND(YEAR(A25)=2011,YEAR(A26)=2012),SUM(D$12:D25,D26*(X$8-A25)/(A26-A25)),"")))</f>
        <v/>
      </c>
      <c r="Y24" s="72" t="str">
        <f>IF(A25="","",IF(A26="",IF(YEAR(A25)=2012,SUM(D$12:D25),""),IF(AND(YEAR(A25)=2012,YEAR(A26)=2013),SUM(D$12:D25,D26*(Y$8-A25)/(A26-A25)),"")))</f>
        <v/>
      </c>
      <c r="Z24" s="67" t="str">
        <f>IF($A25="","",IF($A26="",IF(YEAR($A25)=2002,SUM($J$12:$J25),""),IF(AND(YEAR($A25)=2002,YEAR($A26)=2003),SUM($J$12:$J25,$J26*(O$8-$A25)/($A26-$A25)),"")))</f>
        <v/>
      </c>
      <c r="AA24" s="67" t="str">
        <f>IF($A25="","",IF($A26="",IF(YEAR($A25)=2003,SUM($J$12:$J25),""),IF(AND(YEAR($A25)=2003,YEAR($A26)=2004),SUM($J$12:$J25,$J26*(P$8-$A25)/($A26-$A25)),"")))</f>
        <v/>
      </c>
      <c r="AB24" s="67" t="str">
        <f>IF($A25="","",IF($A26="",IF(YEAR($A25)=2004,SUM($J$12:$J25),""),IF(AND(YEAR($A25)=2004,YEAR($A26)=2005),SUM($J$12:$J25,$J26*(Q$8-$A25)/($A26-$A25)),"")))</f>
        <v/>
      </c>
      <c r="AC24" s="67" t="str">
        <f>IF($A25="","",IF($A26="",IF(YEAR($A25)=2005,SUM($J$12:$J25),""),IF(AND(YEAR($A25)=2005,YEAR($A26)=2006),SUM($J$12:$J25,$J26*(R$8-$A25)/($A26-$A25)),"")))</f>
        <v/>
      </c>
      <c r="AD24" s="67" t="str">
        <f>IF($A25="","",IF($A26="",IF(YEAR($A25)=2006,SUM($J$12:$J25),""),IF(AND(YEAR($A25)=2006,YEAR($A26)=2007),SUM($J$12:$J25,$J26*(S$8-$A25)/($A26-$A25)),"")))</f>
        <v/>
      </c>
      <c r="AE24" s="67" t="str">
        <f>IF($A25="","",IF($A26="",IF(YEAR($A25)=2007,SUM($J$12:$J25),""),IF(AND(YEAR($A25)=2007,YEAR($A26)=2008),SUM($J$12:$J25,$J26*(T$8-$A25)/($A26-$A25)),"")))</f>
        <v/>
      </c>
      <c r="AF24" s="67" t="str">
        <f>IF($A25="","",IF($A26="",IF(YEAR($A25)=2008,SUM($J$12:$J25),""),IF(AND(YEAR($A25)=2008,YEAR($A26)=2009),SUM($J$12:$J25,$J26*(U$8-$A25)/($A26-$A25)),"")))</f>
        <v/>
      </c>
      <c r="AG24" s="67" t="str">
        <f>IF($A25="","",IF($A26="",IF(YEAR($A25)=2009,SUM($J$12:$J25),""),IF(AND(YEAR($A25)=2009,YEAR($A26)=2010),SUM($J$12:$J25,$J26*(V$8-$A25)/($A26-$A25)),"")))</f>
        <v/>
      </c>
      <c r="AH24" s="67" t="str">
        <f>IF($A25="","",IF($A26="",IF(YEAR($A25)=2010,SUM($J$12:$J25),""),IF(AND(YEAR($A25)=2010,YEAR($A26)=2011),SUM($J$12:$J25,$J26*(W$8-$A25)/($A26-$A25)),"")))</f>
        <v/>
      </c>
      <c r="AI24" s="67" t="str">
        <f>IF($A25="","",IF($A26="",IF(YEAR($A25)=2011,SUM($J$12:$J25),""),IF(AND(YEAR($A25)=2011,YEAR($A26)=2012),SUM($J$12:$J25,$J26*(X$8-$A25)/($A26-$A25)),"")))</f>
        <v/>
      </c>
      <c r="AJ24" s="67" t="str">
        <f>IF($A25="","",IF($A26="",IF(YEAR($A25)=2012,SUM($J$12:$J25),""),IF(AND(YEAR($A25)=2012,YEAR($A26)=2013),SUM($J$12:$J25,$J26*(Y$8-$A25)/($A26-$A25)),"")))</f>
        <v/>
      </c>
    </row>
    <row r="25" spans="1:36" x14ac:dyDescent="0.2">
      <c r="A25" s="308" t="str">
        <f t="shared" si="0"/>
        <v/>
      </c>
      <c r="B25" s="203" t="str">
        <f>IF($E$5*$E$7&lt;13," ",13)</f>
        <v xml:space="preserve"> </v>
      </c>
      <c r="C25" s="201" t="str">
        <f>IF(AND(B23=" ",B24=" ",B25=" ")," ",IF(B24=" ",SUM(C$13:C23),IF(B25=" "," ",D25+E25)))</f>
        <v xml:space="preserve"> </v>
      </c>
      <c r="D25" s="201" t="str">
        <f>IF(AND(B23=" ",B24=" ",B25=" ")," ",IF(B24=" ",SUM(D$13:D23),IF(B25=" "," ",ROUND(F24*E$6/E$7,2))))</f>
        <v xml:space="preserve"> </v>
      </c>
      <c r="E25" s="201" t="str">
        <f>IF(AND(B23=" ",B24=" ",B25=" ")," ",IF(B24=" ",SUM(E$13:E23),IF(B25=" "," ",E$8)))</f>
        <v xml:space="preserve"> </v>
      </c>
      <c r="F25" s="201" t="str">
        <f>IF(AND(B23=" ",B24=" ",B25=" ")," ",IF(B24=" ",SUM(F$12:F22),IF(B25=" "," ",F24-E25)))</f>
        <v xml:space="preserve"> </v>
      </c>
      <c r="G25" s="201" t="str">
        <f>IF(AND(B23=" ",B24=" ",B25=" ")," ",IF(B24=" ",SUM(G$12:G23),IF(B26=" ",IF(E$5*E$7=B25,C25-C$7+C$8+G$10," "),C25)))</f>
        <v xml:space="preserve"> </v>
      </c>
      <c r="H25" s="204" t="str">
        <f>IF(AND(B23=" ",B24=" ",B25=" ")," ",IF(B24=" ",SUM(H$13:H23)*E$7,IF(B25=" "," ",IF(B26=" ",IF(E$5*E$7=B25,IRR(G$12:G25,0.01)," ")," "))))</f>
        <v xml:space="preserve"> </v>
      </c>
      <c r="I25" s="202" t="str">
        <f t="shared" si="1"/>
        <v/>
      </c>
      <c r="J25" s="202" t="str">
        <f t="shared" si="2"/>
        <v/>
      </c>
      <c r="K25" s="47" t="s">
        <v>444</v>
      </c>
      <c r="L25" s="48">
        <f>IF((SUM(V11:V133)-L22-L19-L16-L13-L10-L7-L4)&lt;0,0,SUM(V11:V133)/10000-L22-L19-L16-L13-L10-L7-L4)</f>
        <v>32.678453038674036</v>
      </c>
      <c r="M25" s="47" t="s">
        <v>699</v>
      </c>
      <c r="N25" s="48">
        <f>IF(L25=0,0,L25+L28+L31+L34)</f>
        <v>790.21038121546962</v>
      </c>
      <c r="O25" s="67" t="str">
        <f>IF($A26="","",IF($A27="",IF(YEAR($A26)=2002,SUM($D$12:$D26),""),IF(AND(YEAR($A26)=2002,YEAR($A27)=2003),SUM($D$12:$D26,$D27*(O$8-$A26)/($A27-$A26)),"")))</f>
        <v/>
      </c>
      <c r="P25" s="67" t="str">
        <f>IF($A26="","",IF($A27="",IF(YEAR($A26)=2003,SUM($D$12:$D26),""),IF(AND(YEAR($A26)=2003,YEAR($A27)=2004),SUM($D$12:$D26,$D27*(P$8-$A26)/($A27-$A26)),"")))</f>
        <v/>
      </c>
      <c r="Q25" s="67" t="str">
        <f>IF(A26="","",IF(A27="",IF(YEAR(A26)=2004,SUM(D$12:D26),""),IF(AND(YEAR(A26)=2004,YEAR(A27)=2005),SUM(D$12:D26,D27*(Q$8-A26)/(A27-A26)),"")))</f>
        <v/>
      </c>
      <c r="R25" s="67" t="str">
        <f>IF(A26="","",IF(A27="",IF(YEAR(A26)=2005,SUM(D$12:D26),""),IF(AND(YEAR(A26)=2005,YEAR(A27)=2006),SUM(D$12:D26,D27*(R$8-A26)/(A27-A26)),"")))</f>
        <v/>
      </c>
      <c r="S25" s="67" t="str">
        <f>IF(A26="","",IF(A27="",IF(YEAR(A26)=2006,SUM(D$12:D26),""),IF(AND(YEAR(A26)=2006,YEAR(A27)=2007),SUM(D$12:D26,D27*(S$8-A26)/(A27-A26)),"")))</f>
        <v/>
      </c>
      <c r="T25" s="67" t="str">
        <f>IF(A26="","",IF(A27="",IF(YEAR(A26)=2007,SUM(D$12:D26),""),IF(AND(YEAR(A26)=2007,YEAR(A27)=2008),SUM(D$12:D26,D27*(T$8-A26)/(A27-A26)),"")))</f>
        <v/>
      </c>
      <c r="U25" s="67" t="str">
        <f>IF(A26="","",IF(A27="",IF(YEAR(A26)=2008,SUM(D$12:D26),""),IF(AND(YEAR(A26)=2008,YEAR(A27)=2009),SUM(D$12:D26,D27*(U$8-A26)/(A27-A26)),"")))</f>
        <v/>
      </c>
      <c r="V25" s="67" t="str">
        <f>IF(A26="","",IF(A27="",IF(YEAR(A26)=2009,SUM(D$12:D26),""),IF(AND(YEAR(A26)=2009,YEAR(A27)=2010),SUM(D$12:D26,D27*(V$8-A26)/(A27-A26)),"")))</f>
        <v/>
      </c>
      <c r="W25" s="67" t="str">
        <f>IF(A26="","",IF(A27="",IF(YEAR(A26)=2010,SUM(D$12:D26),""),IF(AND(YEAR(A26)=2010,YEAR(A27)=2011),SUM(D$12:D26,D27*(W$8-A26)/(A27-A26)),"")))</f>
        <v/>
      </c>
      <c r="X25" s="67" t="str">
        <f>IF(A26="","",IF(A27="",IF(YEAR(A26)=2011,SUM(D$12:D26),""),IF(AND(YEAR(A26)=2011,YEAR(A27)=2012),SUM(D$12:D26,D27*(X$8-A26)/(A27-A26)),"")))</f>
        <v/>
      </c>
      <c r="Y25" s="72" t="str">
        <f>IF(A26="","",IF(A27="",IF(YEAR(A26)=2012,SUM(D$12:D26),""),IF(AND(YEAR(A26)=2012,YEAR(A27)=2013),SUM(D$12:D26,D27*(Y$8-A26)/(A27-A26)),"")))</f>
        <v/>
      </c>
      <c r="Z25" s="67" t="str">
        <f>IF($A26="","",IF($A27="",IF(YEAR($A26)=2002,SUM($J$12:$J26),""),IF(AND(YEAR($A26)=2002,YEAR($A27)=2003),SUM($J$12:$J26,$J27*(O$8-$A26)/($A27-$A26)),"")))</f>
        <v/>
      </c>
      <c r="AA25" s="67" t="str">
        <f>IF($A26="","",IF($A27="",IF(YEAR($A26)=2003,SUM($J$12:$J26),""),IF(AND(YEAR($A26)=2003,YEAR($A27)=2004),SUM($J$12:$J26,$J27*(P$8-$A26)/($A27-$A26)),"")))</f>
        <v/>
      </c>
      <c r="AB25" s="67" t="str">
        <f>IF($A26="","",IF($A27="",IF(YEAR($A26)=2004,SUM($J$12:$J26),""),IF(AND(YEAR($A26)=2004,YEAR($A27)=2005),SUM($J$12:$J26,$J27*(Q$8-$A26)/($A27-$A26)),"")))</f>
        <v/>
      </c>
      <c r="AC25" s="67" t="str">
        <f>IF($A26="","",IF($A27="",IF(YEAR($A26)=2005,SUM($J$12:$J26),""),IF(AND(YEAR($A26)=2005,YEAR($A27)=2006),SUM($J$12:$J26,$J27*(R$8-$A26)/($A27-$A26)),"")))</f>
        <v/>
      </c>
      <c r="AD25" s="67" t="str">
        <f>IF($A26="","",IF($A27="",IF(YEAR($A26)=2006,SUM($J$12:$J26),""),IF(AND(YEAR($A26)=2006,YEAR($A27)=2007),SUM($J$12:$J26,$J27*(S$8-$A26)/($A27-$A26)),"")))</f>
        <v/>
      </c>
      <c r="AE25" s="67" t="str">
        <f>IF($A26="","",IF($A27="",IF(YEAR($A26)=2007,SUM($J$12:$J26),""),IF(AND(YEAR($A26)=2007,YEAR($A27)=2008),SUM($J$12:$J26,$J27*(T$8-$A26)/($A27-$A26)),"")))</f>
        <v/>
      </c>
      <c r="AF25" s="67" t="str">
        <f>IF($A26="","",IF($A27="",IF(YEAR($A26)=2008,SUM($J$12:$J26),""),IF(AND(YEAR($A26)=2008,YEAR($A27)=2009),SUM($J$12:$J26,$J27*(U$8-$A26)/($A27-$A26)),"")))</f>
        <v/>
      </c>
      <c r="AG25" s="67" t="str">
        <f>IF($A26="","",IF($A27="",IF(YEAR($A26)=2009,SUM($J$12:$J26),""),IF(AND(YEAR($A26)=2009,YEAR($A27)=2010),SUM($J$12:$J26,$J27*(V$8-$A26)/($A27-$A26)),"")))</f>
        <v/>
      </c>
      <c r="AH25" s="67" t="str">
        <f>IF($A26="","",IF($A27="",IF(YEAR($A26)=2010,SUM($J$12:$J26),""),IF(AND(YEAR($A26)=2010,YEAR($A27)=2011),SUM($J$12:$J26,$J27*(W$8-$A26)/($A27-$A26)),"")))</f>
        <v/>
      </c>
      <c r="AI25" s="67" t="str">
        <f>IF($A26="","",IF($A27="",IF(YEAR($A26)=2011,SUM($J$12:$J26),""),IF(AND(YEAR($A26)=2011,YEAR($A27)=2012),SUM($J$12:$J26,$J27*(X$8-$A26)/($A27-$A26)),"")))</f>
        <v/>
      </c>
      <c r="AJ25" s="67" t="str">
        <f>IF($A26="","",IF($A27="",IF(YEAR($A26)=2012,SUM($J$12:$J26),""),IF(AND(YEAR($A26)=2012,YEAR($A27)=2013),SUM($J$12:$J26,$J27*(Y$8-$A26)/($A27-$A26)),"")))</f>
        <v/>
      </c>
    </row>
    <row r="26" spans="1:36" x14ac:dyDescent="0.2">
      <c r="A26" s="308" t="str">
        <f t="shared" si="0"/>
        <v/>
      </c>
      <c r="B26" s="203" t="str">
        <f>IF($E$5*$E$7&lt;14," ",14)</f>
        <v xml:space="preserve"> </v>
      </c>
      <c r="C26" s="201" t="str">
        <f>IF(AND(B24=" ",B25=" ",B26=" ")," ",IF(B25=" ",SUM(C$13:C24),IF(B26=" "," ",D26+E26)))</f>
        <v xml:space="preserve"> </v>
      </c>
      <c r="D26" s="201" t="str">
        <f>IF(AND(B24=" ",B25=" ",B26=" ")," ",IF(B25=" ",SUM(D$13:D24),IF(B26=" "," ",ROUND(F25*E$6/E$7,2))))</f>
        <v xml:space="preserve"> </v>
      </c>
      <c r="E26" s="201" t="str">
        <f>IF(AND(B24=" ",B25=" ",B26=" ")," ",IF(B25=" ",SUM(E$13:E24),IF(B26=" "," ",E$8)))</f>
        <v xml:space="preserve"> </v>
      </c>
      <c r="F26" s="201" t="str">
        <f>IF(AND(B24=" ",B25=" ",B26=" ")," ",IF(B25=" ",SUM(F$12:F23),IF(B26=" "," ",F25-E26)))</f>
        <v xml:space="preserve"> </v>
      </c>
      <c r="G26" s="201" t="str">
        <f>IF(AND(B24=" ",B25=" ",B26=" ")," ",IF(B25=" ",SUM(G$12:G24),IF(B27=" ",IF(E$5*E$7=B26,C26-C$7+C$8+G$10," "),C26)))</f>
        <v xml:space="preserve"> </v>
      </c>
      <c r="H26" s="204" t="str">
        <f>IF(AND(B24=" ",B25=" ",B26=" ")," ",IF(B25=" ",SUM(H$13:H24)*E$7,IF(B26=" "," ",IF(B27=" ",IF(E$5*E$7=B26,IRR(G$12:G26,0.01)," ")," "))))</f>
        <v xml:space="preserve"> </v>
      </c>
      <c r="I26" s="202" t="str">
        <f t="shared" si="1"/>
        <v/>
      </c>
      <c r="J26" s="202" t="str">
        <f t="shared" si="2"/>
        <v/>
      </c>
      <c r="K26" s="53" t="s">
        <v>445</v>
      </c>
      <c r="L26" s="48">
        <f>IF((SUM(AG11:AG133)-L23-L20-L17-L14-L11-L8-L5)&lt;0,0,SUM(AG11:AG133)/10000-L23-L20-L17-L14-L11-L8-L5)</f>
        <v>465.2383561643835</v>
      </c>
      <c r="M26" s="53" t="s">
        <v>700</v>
      </c>
      <c r="N26" s="48">
        <f>IF(L26=0,0,L26+L29+L32+L35)</f>
        <v>10940.071232876713</v>
      </c>
      <c r="O26" s="67" t="str">
        <f>IF($A27="","",IF($A28="",IF(YEAR($A27)=2002,SUM($D$12:$D27),""),IF(AND(YEAR($A27)=2002,YEAR($A28)=2003),SUM($D$12:$D27,$D28*(O$8-$A27)/($A28-$A27)),"")))</f>
        <v/>
      </c>
      <c r="P26" s="67" t="str">
        <f>IF($A27="","",IF($A28="",IF(YEAR($A27)=2003,SUM($D$12:$D27),""),IF(AND(YEAR($A27)=2003,YEAR($A28)=2004),SUM($D$12:$D27,$D28*(P$8-$A27)/($A28-$A27)),"")))</f>
        <v/>
      </c>
      <c r="Q26" s="67" t="str">
        <f>IF(A27="","",IF(A28="",IF(YEAR(A27)=2004,SUM(D$12:D27),""),IF(AND(YEAR(A27)=2004,YEAR(A28)=2005),SUM(D$12:D27,D28*(Q$8-A27)/(A28-A27)),"")))</f>
        <v/>
      </c>
      <c r="R26" s="67" t="str">
        <f>IF(A27="","",IF(A28="",IF(YEAR(A27)=2005,SUM(D$12:D27),""),IF(AND(YEAR(A27)=2005,YEAR(A28)=2006),SUM(D$12:D27,D28*(R$8-A27)/(A28-A27)),"")))</f>
        <v/>
      </c>
      <c r="S26" s="67" t="str">
        <f>IF(A27="","",IF(A28="",IF(YEAR(A27)=2006,SUM(D$12:D27),""),IF(AND(YEAR(A27)=2006,YEAR(A28)=2007),SUM(D$12:D27,D28*(S$8-A27)/(A28-A27)),"")))</f>
        <v/>
      </c>
      <c r="T26" s="67" t="str">
        <f>IF(A27="","",IF(A28="",IF(YEAR(A27)=2007,SUM(D$12:D27),""),IF(AND(YEAR(A27)=2007,YEAR(A28)=2008),SUM(D$12:D27,D28*(T$8-A27)/(A28-A27)),"")))</f>
        <v/>
      </c>
      <c r="U26" s="67" t="str">
        <f>IF(A27="","",IF(A28="",IF(YEAR(A27)=2008,SUM(D$12:D27),""),IF(AND(YEAR(A27)=2008,YEAR(A28)=2009),SUM(D$12:D27,D28*(U$8-A27)/(A28-A27)),"")))</f>
        <v/>
      </c>
      <c r="V26" s="67" t="str">
        <f>IF(A27="","",IF(A28="",IF(YEAR(A27)=2009,SUM(D$12:D27),""),IF(AND(YEAR(A27)=2009,YEAR(A28)=2010),SUM(D$12:D27,D28*(V$8-A27)/(A28-A27)),"")))</f>
        <v/>
      </c>
      <c r="W26" s="67" t="str">
        <f>IF(A27="","",IF(A28="",IF(YEAR(A27)=2010,SUM(D$12:D27),""),IF(AND(YEAR(A27)=2010,YEAR(A28)=2011),SUM(D$12:D27,D28*(W$8-A27)/(A28-A27)),"")))</f>
        <v/>
      </c>
      <c r="X26" s="67" t="str">
        <f>IF(A27="","",IF(A28="",IF(YEAR(A27)=2011,SUM(D$12:D27),""),IF(AND(YEAR(A27)=2011,YEAR(A28)=2012),SUM(D$12:D27,D28*(X$8-A27)/(A28-A27)),"")))</f>
        <v/>
      </c>
      <c r="Y26" s="72" t="str">
        <f>IF(A27="","",IF(A28="",IF(YEAR(A27)=2012,SUM(D$12:D27),""),IF(AND(YEAR(A27)=2012,YEAR(A28)=2013),SUM(D$12:D27,D28*(Y$8-A27)/(A28-A27)),"")))</f>
        <v/>
      </c>
      <c r="Z26" s="67" t="str">
        <f>IF($A27="","",IF($A28="",IF(YEAR($A27)=2002,SUM($J$12:$J27),""),IF(AND(YEAR($A27)=2002,YEAR($A28)=2003),SUM($J$12:$J27,$J28*(O$8-$A27)/($A28-$A27)),"")))</f>
        <v/>
      </c>
      <c r="AA26" s="67" t="str">
        <f>IF($A27="","",IF($A28="",IF(YEAR($A27)=2003,SUM($J$12:$J27),""),IF(AND(YEAR($A27)=2003,YEAR($A28)=2004),SUM($J$12:$J27,$J28*(P$8-$A27)/($A28-$A27)),"")))</f>
        <v/>
      </c>
      <c r="AB26" s="67" t="str">
        <f>IF($A27="","",IF($A28="",IF(YEAR($A27)=2004,SUM($J$12:$J27),""),IF(AND(YEAR($A27)=2004,YEAR($A28)=2005),SUM($J$12:$J27,$J28*(Q$8-$A27)/($A28-$A27)),"")))</f>
        <v/>
      </c>
      <c r="AC26" s="67" t="str">
        <f>IF($A27="","",IF($A28="",IF(YEAR($A27)=2005,SUM($J$12:$J27),""),IF(AND(YEAR($A27)=2005,YEAR($A28)=2006),SUM($J$12:$J27,$J28*(R$8-$A27)/($A28-$A27)),"")))</f>
        <v/>
      </c>
      <c r="AD26" s="67" t="str">
        <f>IF($A27="","",IF($A28="",IF(YEAR($A27)=2006,SUM($J$12:$J27),""),IF(AND(YEAR($A27)=2006,YEAR($A28)=2007),SUM($J$12:$J27,$J28*(S$8-$A27)/($A28-$A27)),"")))</f>
        <v/>
      </c>
      <c r="AE26" s="67" t="str">
        <f>IF($A27="","",IF($A28="",IF(YEAR($A27)=2007,SUM($J$12:$J27),""),IF(AND(YEAR($A27)=2007,YEAR($A28)=2008),SUM($J$12:$J27,$J28*(T$8-$A27)/($A28-$A27)),"")))</f>
        <v/>
      </c>
      <c r="AF26" s="67" t="str">
        <f>IF($A27="","",IF($A28="",IF(YEAR($A27)=2008,SUM($J$12:$J27),""),IF(AND(YEAR($A27)=2008,YEAR($A28)=2009),SUM($J$12:$J27,$J28*(U$8-$A27)/($A28-$A27)),"")))</f>
        <v/>
      </c>
      <c r="AG26" s="67" t="str">
        <f>IF($A27="","",IF($A28="",IF(YEAR($A27)=2009,SUM($J$12:$J27),""),IF(AND(YEAR($A27)=2009,YEAR($A28)=2010),SUM($J$12:$J27,$J28*(V$8-$A27)/($A28-$A27)),"")))</f>
        <v/>
      </c>
      <c r="AH26" s="67" t="str">
        <f>IF($A27="","",IF($A28="",IF(YEAR($A27)=2010,SUM($J$12:$J27),""),IF(AND(YEAR($A27)=2010,YEAR($A28)=2011),SUM($J$12:$J27,$J28*(W$8-$A27)/($A28-$A27)),"")))</f>
        <v/>
      </c>
      <c r="AI26" s="67" t="str">
        <f>IF($A27="","",IF($A28="",IF(YEAR($A27)=2011,SUM($J$12:$J27),""),IF(AND(YEAR($A27)=2011,YEAR($A28)=2012),SUM($J$12:$J27,$J28*(X$8-$A27)/($A28-$A27)),"")))</f>
        <v/>
      </c>
      <c r="AJ26" s="67" t="str">
        <f>IF($A27="","",IF($A28="",IF(YEAR($A27)=2012,SUM($J$12:$J27),""),IF(AND(YEAR($A27)=2012,YEAR($A28)=2013),SUM($J$12:$J27,$J28*(Y$8-$A27)/($A28-$A27)),"")))</f>
        <v/>
      </c>
    </row>
    <row r="27" spans="1:36" x14ac:dyDescent="0.2">
      <c r="A27" s="308" t="str">
        <f t="shared" si="0"/>
        <v/>
      </c>
      <c r="B27" s="203" t="str">
        <f>IF($E$5*$E$7&lt;15," ",15)</f>
        <v xml:space="preserve"> </v>
      </c>
      <c r="C27" s="201" t="str">
        <f>IF(AND(B25=" ",B26=" ",B27=" ")," ",IF(B26=" ",SUM(C$13:C25),IF(B27=" "," ",D27+E27)))</f>
        <v xml:space="preserve"> </v>
      </c>
      <c r="D27" s="201" t="str">
        <f>IF(AND(B25=" ",B26=" ",B27=" ")," ",IF(B26=" ",SUM(D$13:D25),IF(B27=" "," ",ROUND(F26*E$6/E$7,2))))</f>
        <v xml:space="preserve"> </v>
      </c>
      <c r="E27" s="201" t="str">
        <f>IF(AND(B25=" ",B26=" ",B27=" ")," ",IF(B26=" ",SUM(E$13:E25),IF(B27=" "," ",E$8)))</f>
        <v xml:space="preserve"> </v>
      </c>
      <c r="F27" s="201" t="str">
        <f>IF(AND(B25=" ",B26=" ",B27=" ")," ",IF(B26=" ",SUM(F$12:F24),IF(B27=" "," ",F26-E27)))</f>
        <v xml:space="preserve"> </v>
      </c>
      <c r="G27" s="201" t="str">
        <f>IF(AND(B25=" ",B26=" ",B27=" ")," ",IF(B26=" ",SUM(G$12:G25),IF(B28=" ",IF(E$5*E$7=B27,C27-C$7+C$8+G$10," "),C27)))</f>
        <v xml:space="preserve"> </v>
      </c>
      <c r="H27" s="204" t="str">
        <f>IF(AND(B25=" ",B26=" ",B27=" ")," ",IF(B26=" ",SUM(H$13:H25)*E$7,IF(B27=" "," ",IF(B28=" ",IF(E$5*E$7=B27,IRR(G$12:G27,0.01)," ")," "))))</f>
        <v xml:space="preserve"> </v>
      </c>
      <c r="I27" s="202" t="str">
        <f t="shared" si="1"/>
        <v/>
      </c>
      <c r="J27" s="202" t="str">
        <f t="shared" si="2"/>
        <v/>
      </c>
      <c r="K27" s="54"/>
      <c r="L27" s="50">
        <f>IF(L26=0,0,L25/L26)</f>
        <v>7.024023837606308E-2</v>
      </c>
      <c r="M27" s="54"/>
      <c r="N27" s="50">
        <f>IF(N26=0,0,N25/N26)</f>
        <v>7.2230825960324416E-2</v>
      </c>
      <c r="O27" s="67" t="str">
        <f>IF($A28="","",IF($A29="",IF(YEAR($A28)=2002,SUM($D$12:$D28),""),IF(AND(YEAR($A28)=2002,YEAR($A29)=2003),SUM($D$12:$D28,$D29*(O$8-$A28)/($A29-$A28)),"")))</f>
        <v/>
      </c>
      <c r="P27" s="67" t="str">
        <f>IF($A28="","",IF($A29="",IF(YEAR($A28)=2003,SUM($D$12:$D28),""),IF(AND(YEAR($A28)=2003,YEAR($A29)=2004),SUM($D$12:$D28,$D29*(P$8-$A28)/($A29-$A28)),"")))</f>
        <v/>
      </c>
      <c r="Q27" s="67" t="str">
        <f>IF(A28="","",IF(A29="",IF(YEAR(A28)=2004,SUM(D$12:D28),""),IF(AND(YEAR(A28)=2004,YEAR(A29)=2005),SUM(D$12:D28,D29*(Q$8-A28)/(A29-A28)),"")))</f>
        <v/>
      </c>
      <c r="R27" s="67" t="str">
        <f>IF(A28="","",IF(A29="",IF(YEAR(A28)=2005,SUM(D$12:D28),""),IF(AND(YEAR(A28)=2005,YEAR(A29)=2006),SUM(D$12:D28,D29*(R$8-A28)/(A29-A28)),"")))</f>
        <v/>
      </c>
      <c r="S27" s="67" t="str">
        <f>IF(A28="","",IF(A29="",IF(YEAR(A28)=2006,SUM(D$12:D28),""),IF(AND(YEAR(A28)=2006,YEAR(A29)=2007),SUM(D$12:D28,D29*(S$8-A28)/(A29-A28)),"")))</f>
        <v/>
      </c>
      <c r="T27" s="67" t="str">
        <f>IF(A28="","",IF(A29="",IF(YEAR(A28)=2007,SUM(D$12:D28),""),IF(AND(YEAR(A28)=2007,YEAR(A29)=2008),SUM(D$12:D28,D29*(T$8-A28)/(A29-A28)),"")))</f>
        <v/>
      </c>
      <c r="U27" s="67" t="str">
        <f>IF(A28="","",IF(A29="",IF(YEAR(A28)=2008,SUM(D$12:D28),""),IF(AND(YEAR(A28)=2008,YEAR(A29)=2009),SUM(D$12:D28,D29*(U$8-A28)/(A29-A28)),"")))</f>
        <v/>
      </c>
      <c r="V27" s="67" t="str">
        <f>IF(A28="","",IF(A29="",IF(YEAR(A28)=2009,SUM(D$12:D28),""),IF(AND(YEAR(A28)=2009,YEAR(A29)=2010),SUM(D$12:D28,D29*(V$8-A28)/(A29-A28)),"")))</f>
        <v/>
      </c>
      <c r="W27" s="67" t="str">
        <f>IF(A28="","",IF(A29="",IF(YEAR(A28)=2010,SUM(D$12:D28),""),IF(AND(YEAR(A28)=2010,YEAR(A29)=2011),SUM(D$12:D28,D29*(W$8-A28)/(A29-A28)),"")))</f>
        <v/>
      </c>
      <c r="X27" s="67" t="str">
        <f>IF(A28="","",IF(A29="",IF(YEAR(A28)=2011,SUM(D$12:D28),""),IF(AND(YEAR(A28)=2011,YEAR(A29)=2012),SUM(D$12:D28,D29*(X$8-A28)/(A29-A28)),"")))</f>
        <v/>
      </c>
      <c r="Y27" s="72" t="str">
        <f>IF(A28="","",IF(A29="",IF(YEAR(A28)=2012,SUM(D$12:D28),""),IF(AND(YEAR(A28)=2012,YEAR(A29)=2013),SUM(D$12:D28,D29*(Y$8-A28)/(A29-A28)),"")))</f>
        <v/>
      </c>
      <c r="Z27" s="67" t="str">
        <f>IF($A28="","",IF($A29="",IF(YEAR($A28)=2002,SUM($J$12:$J28),""),IF(AND(YEAR($A28)=2002,YEAR($A29)=2003),SUM($J$12:$J28,$J29*(O$8-$A28)/($A29-$A28)),"")))</f>
        <v/>
      </c>
      <c r="AA27" s="67" t="str">
        <f>IF($A28="","",IF($A29="",IF(YEAR($A28)=2003,SUM($J$12:$J28),""),IF(AND(YEAR($A28)=2003,YEAR($A29)=2004),SUM($J$12:$J28,$J29*(P$8-$A28)/($A29-$A28)),"")))</f>
        <v/>
      </c>
      <c r="AB27" s="67" t="str">
        <f>IF($A28="","",IF($A29="",IF(YEAR($A28)=2004,SUM($J$12:$J28),""),IF(AND(YEAR($A28)=2004,YEAR($A29)=2005),SUM($J$12:$J28,$J29*(Q$8-$A28)/($A29-$A28)),"")))</f>
        <v/>
      </c>
      <c r="AC27" s="67" t="str">
        <f>IF($A28="","",IF($A29="",IF(YEAR($A28)=2005,SUM($J$12:$J28),""),IF(AND(YEAR($A28)=2005,YEAR($A29)=2006),SUM($J$12:$J28,$J29*(R$8-$A28)/($A29-$A28)),"")))</f>
        <v/>
      </c>
      <c r="AD27" s="67" t="str">
        <f>IF($A28="","",IF($A29="",IF(YEAR($A28)=2006,SUM($J$12:$J28),""),IF(AND(YEAR($A28)=2006,YEAR($A29)=2007),SUM($J$12:$J28,$J29*(S$8-$A28)/($A29-$A28)),"")))</f>
        <v/>
      </c>
      <c r="AE27" s="67" t="str">
        <f>IF($A28="","",IF($A29="",IF(YEAR($A28)=2007,SUM($J$12:$J28),""),IF(AND(YEAR($A28)=2007,YEAR($A29)=2008),SUM($J$12:$J28,$J29*(T$8-$A28)/($A29-$A28)),"")))</f>
        <v/>
      </c>
      <c r="AF27" s="67" t="str">
        <f>IF($A28="","",IF($A29="",IF(YEAR($A28)=2008,SUM($J$12:$J28),""),IF(AND(YEAR($A28)=2008,YEAR($A29)=2009),SUM($J$12:$J28,$J29*(U$8-$A28)/($A29-$A28)),"")))</f>
        <v/>
      </c>
      <c r="AG27" s="67" t="str">
        <f>IF($A28="","",IF($A29="",IF(YEAR($A28)=2009,SUM($J$12:$J28),""),IF(AND(YEAR($A28)=2009,YEAR($A29)=2010),SUM($J$12:$J28,$J29*(V$8-$A28)/($A29-$A28)),"")))</f>
        <v/>
      </c>
      <c r="AH27" s="67" t="str">
        <f>IF($A28="","",IF($A29="",IF(YEAR($A28)=2010,SUM($J$12:$J28),""),IF(AND(YEAR($A28)=2010,YEAR($A29)=2011),SUM($J$12:$J28,$J29*(W$8-$A28)/($A29-$A28)),"")))</f>
        <v/>
      </c>
      <c r="AI27" s="67" t="str">
        <f>IF($A28="","",IF($A29="",IF(YEAR($A28)=2011,SUM($J$12:$J28),""),IF(AND(YEAR($A28)=2011,YEAR($A29)=2012),SUM($J$12:$J28,$J29*(X$8-$A28)/($A29-$A28)),"")))</f>
        <v/>
      </c>
      <c r="AJ27" s="67" t="str">
        <f>IF($A28="","",IF($A29="",IF(YEAR($A28)=2012,SUM($J$12:$J28),""),IF(AND(YEAR($A28)=2012,YEAR($A29)=2013),SUM($J$12:$J28,$J29*(Y$8-$A28)/($A29-$A28)),"")))</f>
        <v/>
      </c>
    </row>
    <row r="28" spans="1:36" x14ac:dyDescent="0.2">
      <c r="A28" s="308" t="str">
        <f t="shared" si="0"/>
        <v/>
      </c>
      <c r="B28" s="203" t="str">
        <f>IF($E$5*$E$7&lt;16," ",16)</f>
        <v xml:space="preserve"> </v>
      </c>
      <c r="C28" s="201" t="str">
        <f>IF(AND(B26=" ",B27=" ",B28=" ")," ",IF(B27=" ",SUM(C$13:C26),IF(B28=" "," ",D28+E28)))</f>
        <v xml:space="preserve"> </v>
      </c>
      <c r="D28" s="201" t="str">
        <f>IF(AND(B26=" ",B27=" ",B28=" ")," ",IF(B27=" ",SUM(D$13:D26),IF(B28=" "," ",ROUND(F27*E$6/E$7,2))))</f>
        <v xml:space="preserve"> </v>
      </c>
      <c r="E28" s="201" t="str">
        <f>IF(AND(B26=" ",B27=" ",B28=" ")," ",IF(B27=" ",SUM(E$13:E26),IF(B28=" "," ",E$8)))</f>
        <v xml:space="preserve"> </v>
      </c>
      <c r="F28" s="201" t="str">
        <f>IF(AND(B26=" ",B27=" ",B28=" ")," ",IF(B27=" ",SUM(F$12:F25),IF(B28=" "," ",F27-E28)))</f>
        <v xml:space="preserve"> </v>
      </c>
      <c r="G28" s="201" t="str">
        <f>IF(AND(B26=" ",B27=" ",B28=" ")," ",IF(B27=" ",SUM(G$12:G26),IF(B29=" ",IF(E$5*E$7=B28,C28-C$7+C$8+G$10," "),C28)))</f>
        <v xml:space="preserve"> </v>
      </c>
      <c r="H28" s="204" t="str">
        <f>IF(AND(B26=" ",B27=" ",B28=" ")," ",IF(B27=" ",SUM(H$13:H26)*E$7,IF(B28=" "," ",IF(B29=" ",IF(E$5*E$7=B28,IRR(G$12:G28,0.01)," ")," "))))</f>
        <v xml:space="preserve"> </v>
      </c>
      <c r="I28" s="202" t="str">
        <f t="shared" si="1"/>
        <v/>
      </c>
      <c r="J28" s="202" t="str">
        <f t="shared" si="2"/>
        <v/>
      </c>
      <c r="K28" s="47" t="s">
        <v>522</v>
      </c>
      <c r="L28" s="48">
        <f>IF((SUM(W11:W133)-L25-L22-L19-L16-L13-L10-L7-L4)&lt;0,0,SUM(W11:W133)/10000-L25-L22-L19-L16-L13-L10-L7-L4)</f>
        <v>313.51344751381214</v>
      </c>
      <c r="M28" s="47" t="s">
        <v>701</v>
      </c>
      <c r="N28" s="48">
        <f>IF(L28=0,0,L28+L31+L34)</f>
        <v>757.53192817679565</v>
      </c>
      <c r="O28" s="67" t="str">
        <f>IF($A29="","",IF($A30="",IF(YEAR($A29)=2002,SUM($D$12:$D29),""),IF(AND(YEAR($A29)=2002,YEAR($A30)=2003),SUM($D$12:$D29,$D30*(O$8-$A29)/($A30-$A29)),"")))</f>
        <v/>
      </c>
      <c r="P28" s="67" t="str">
        <f>IF($A29="","",IF($A30="",IF(YEAR($A29)=2003,SUM($D$12:$D29),""),IF(AND(YEAR($A29)=2003,YEAR($A30)=2004),SUM($D$12:$D29,$D30*(P$8-$A29)/($A30-$A29)),"")))</f>
        <v/>
      </c>
      <c r="Q28" s="67" t="str">
        <f>IF(A29="","",IF(A30="",IF(YEAR(A29)=2004,SUM(D$12:D29),""),IF(AND(YEAR(A29)=2004,YEAR(A30)=2005),SUM(D$12:D29,D30*(Q$8-A29)/(A30-A29)),"")))</f>
        <v/>
      </c>
      <c r="R28" s="67" t="str">
        <f>IF(A29="","",IF(A30="",IF(YEAR(A29)=2005,SUM(D$12:D29),""),IF(AND(YEAR(A29)=2005,YEAR(A30)=2006),SUM(D$12:D29,D30*(R$8-A29)/(A30-A29)),"")))</f>
        <v/>
      </c>
      <c r="S28" s="67" t="str">
        <f>IF(A29="","",IF(A30="",IF(YEAR(A29)=2006,SUM(D$12:D29),""),IF(AND(YEAR(A29)=2006,YEAR(A30)=2007),SUM(D$12:D29,D30*(S$8-A29)/(A30-A29)),"")))</f>
        <v/>
      </c>
      <c r="T28" s="67" t="str">
        <f>IF(A29="","",IF(A30="",IF(YEAR(A29)=2007,SUM(D$12:D29),""),IF(AND(YEAR(A29)=2007,YEAR(A30)=2008),SUM(D$12:D29,D30*(T$8-A29)/(A30-A29)),"")))</f>
        <v/>
      </c>
      <c r="U28" s="67" t="str">
        <f>IF(A29="","",IF(A30="",IF(YEAR(A29)=2008,SUM(D$12:D29),""),IF(AND(YEAR(A29)=2008,YEAR(A30)=2009),SUM(D$12:D29,D30*(U$8-A29)/(A30-A29)),"")))</f>
        <v/>
      </c>
      <c r="V28" s="67" t="str">
        <f>IF(A29="","",IF(A30="",IF(YEAR(A29)=2009,SUM(D$12:D29),""),IF(AND(YEAR(A29)=2009,YEAR(A30)=2010),SUM(D$12:D29,D30*(V$8-A29)/(A30-A29)),"")))</f>
        <v/>
      </c>
      <c r="W28" s="67" t="str">
        <f>IF(A29="","",IF(A30="",IF(YEAR(A29)=2010,SUM(D$12:D29),""),IF(AND(YEAR(A29)=2010,YEAR(A30)=2011),SUM(D$12:D29,D30*(W$8-A29)/(A30-A29)),"")))</f>
        <v/>
      </c>
      <c r="X28" s="67" t="str">
        <f>IF(A29="","",IF(A30="",IF(YEAR(A29)=2011,SUM(D$12:D29),""),IF(AND(YEAR(A29)=2011,YEAR(A30)=2012),SUM(D$12:D29,D30*(X$8-A29)/(A30-A29)),"")))</f>
        <v/>
      </c>
      <c r="Y28" s="72" t="str">
        <f>IF(A29="","",IF(A30="",IF(YEAR(A29)=2012,SUM(D$12:D29),""),IF(AND(YEAR(A29)=2012,YEAR(A30)=2013),SUM(D$12:D29,D30*(Y$8-A29)/(A30-A29)),"")))</f>
        <v/>
      </c>
      <c r="Z28" s="67" t="str">
        <f>IF($A29="","",IF($A30="",IF(YEAR($A29)=2002,SUM($J$12:$J29),""),IF(AND(YEAR($A29)=2002,YEAR($A30)=2003),SUM($J$12:$J29,$J30*(O$8-$A29)/($A30-$A29)),"")))</f>
        <v/>
      </c>
      <c r="AA28" s="67" t="str">
        <f>IF($A29="","",IF($A30="",IF(YEAR($A29)=2003,SUM($J$12:$J29),""),IF(AND(YEAR($A29)=2003,YEAR($A30)=2004),SUM($J$12:$J29,$J30*(P$8-$A29)/($A30-$A29)),"")))</f>
        <v/>
      </c>
      <c r="AB28" s="67" t="str">
        <f>IF($A29="","",IF($A30="",IF(YEAR($A29)=2004,SUM($J$12:$J29),""),IF(AND(YEAR($A29)=2004,YEAR($A30)=2005),SUM($J$12:$J29,$J30*(Q$8-$A29)/($A30-$A29)),"")))</f>
        <v/>
      </c>
      <c r="AC28" s="67" t="str">
        <f>IF($A29="","",IF($A30="",IF(YEAR($A29)=2005,SUM($J$12:$J29),""),IF(AND(YEAR($A29)=2005,YEAR($A30)=2006),SUM($J$12:$J29,$J30*(R$8-$A29)/($A30-$A29)),"")))</f>
        <v/>
      </c>
      <c r="AD28" s="67" t="str">
        <f>IF($A29="","",IF($A30="",IF(YEAR($A29)=2006,SUM($J$12:$J29),""),IF(AND(YEAR($A29)=2006,YEAR($A30)=2007),SUM($J$12:$J29,$J30*(S$8-$A29)/($A30-$A29)),"")))</f>
        <v/>
      </c>
      <c r="AE28" s="67" t="str">
        <f>IF($A29="","",IF($A30="",IF(YEAR($A29)=2007,SUM($J$12:$J29),""),IF(AND(YEAR($A29)=2007,YEAR($A30)=2008),SUM($J$12:$J29,$J30*(T$8-$A29)/($A30-$A29)),"")))</f>
        <v/>
      </c>
      <c r="AF28" s="67" t="str">
        <f>IF($A29="","",IF($A30="",IF(YEAR($A29)=2008,SUM($J$12:$J29),""),IF(AND(YEAR($A29)=2008,YEAR($A30)=2009),SUM($J$12:$J29,$J30*(U$8-$A29)/($A30-$A29)),"")))</f>
        <v/>
      </c>
      <c r="AG28" s="67" t="str">
        <f>IF($A29="","",IF($A30="",IF(YEAR($A29)=2009,SUM($J$12:$J29),""),IF(AND(YEAR($A29)=2009,YEAR($A30)=2010),SUM($J$12:$J29,$J30*(V$8-$A29)/($A30-$A29)),"")))</f>
        <v/>
      </c>
      <c r="AH28" s="67" t="str">
        <f>IF($A29="","",IF($A30="",IF(YEAR($A29)=2010,SUM($J$12:$J29),""),IF(AND(YEAR($A29)=2010,YEAR($A30)=2011),SUM($J$12:$J29,$J30*(W$8-$A29)/($A30-$A29)),"")))</f>
        <v/>
      </c>
      <c r="AI28" s="67" t="str">
        <f>IF($A29="","",IF($A30="",IF(YEAR($A29)=2011,SUM($J$12:$J29),""),IF(AND(YEAR($A29)=2011,YEAR($A30)=2012),SUM($J$12:$J29,$J30*(X$8-$A29)/($A30-$A29)),"")))</f>
        <v/>
      </c>
      <c r="AJ28" s="67" t="str">
        <f>IF($A29="","",IF($A30="",IF(YEAR($A29)=2012,SUM($J$12:$J29),""),IF(AND(YEAR($A29)=2012,YEAR($A30)=2013),SUM($J$12:$J29,$J30*(Y$8-$A29)/($A30-$A29)),"")))</f>
        <v/>
      </c>
    </row>
    <row r="29" spans="1:36" x14ac:dyDescent="0.2">
      <c r="A29" s="308" t="str">
        <f t="shared" si="0"/>
        <v/>
      </c>
      <c r="B29" s="203" t="str">
        <f>IF($E$5*$E$7&lt;17," ",17)</f>
        <v xml:space="preserve"> </v>
      </c>
      <c r="C29" s="201" t="str">
        <f>IF(AND(B27=" ",B28=" ",B29=" ")," ",IF(B28=" ",SUM(C$13:C27),IF(B29=" "," ",D29+E29)))</f>
        <v xml:space="preserve"> </v>
      </c>
      <c r="D29" s="201" t="str">
        <f>IF(AND(B27=" ",B28=" ",B29=" ")," ",IF(B28=" ",SUM(D$13:D27),IF(B29=" "," ",ROUND(F28*E$6/E$7,2))))</f>
        <v xml:space="preserve"> </v>
      </c>
      <c r="E29" s="201" t="str">
        <f>IF(AND(B27=" ",B28=" ",B29=" ")," ",IF(B28=" ",SUM(E$13:E27),IF(B29=" "," ",E$8)))</f>
        <v xml:space="preserve"> </v>
      </c>
      <c r="F29" s="201" t="str">
        <f>IF(AND(B27=" ",B28=" ",B29=" ")," ",IF(B28=" ",SUM(F$12:F26),IF(B29=" "," ",F28-E29)))</f>
        <v xml:space="preserve"> </v>
      </c>
      <c r="G29" s="201" t="str">
        <f>IF(AND(B27=" ",B28=" ",B29=" ")," ",IF(B28=" ",SUM(G$12:G27),IF(B30=" ",IF(E$5*E$7=B29,C29-C$7+C$8+G$10," "),C29)))</f>
        <v xml:space="preserve"> </v>
      </c>
      <c r="H29" s="204" t="str">
        <f>IF(AND(B27=" ",B28=" ",B29=" ")," ",IF(B28=" ",SUM(H$13:H27)*E$7,IF(B29=" "," ",IF(B30=" ",IF(E$5*E$7=B29,IRR(G$12:G29,0.01)," ")," "))))</f>
        <v xml:space="preserve"> </v>
      </c>
      <c r="I29" s="202" t="str">
        <f t="shared" si="1"/>
        <v/>
      </c>
      <c r="J29" s="202" t="str">
        <f t="shared" si="2"/>
        <v/>
      </c>
      <c r="K29" s="53" t="s">
        <v>458</v>
      </c>
      <c r="L29" s="48">
        <f>IF((SUM(AH11:AH133)-L26-L23-L20-L17-L14-L11-L8-L5)&lt;0,0,SUM(AH11:AH133)/10000-L26-L23-L20-L17-L14-L11-L8-L5)</f>
        <v>4473.0547945205481</v>
      </c>
      <c r="M29" s="53" t="s">
        <v>459</v>
      </c>
      <c r="N29" s="48">
        <f>IF(L29=0,0,L29+L32+L35)</f>
        <v>10474.832876712329</v>
      </c>
      <c r="O29" s="67" t="str">
        <f>IF($A30="","",IF($A31="",IF(YEAR($A30)=2002,SUM($D$12:$D30),""),IF(AND(YEAR($A30)=2002,YEAR($A31)=2003),SUM($D$12:$D30,$D31*(O$8-$A30)/($A31-$A30)),"")))</f>
        <v/>
      </c>
      <c r="P29" s="67" t="str">
        <f>IF($A30="","",IF($A31="",IF(YEAR($A30)=2003,SUM($D$12:$D30),""),IF(AND(YEAR($A30)=2003,YEAR($A31)=2004),SUM($D$12:$D30,$D31*(P$8-$A30)/($A31-$A30)),"")))</f>
        <v/>
      </c>
      <c r="Q29" s="67" t="str">
        <f>IF(A30="","",IF(A31="",IF(YEAR(A30)=2004,SUM(D$12:D30),""),IF(AND(YEAR(A30)=2004,YEAR(A31)=2005),SUM(D$12:D30,D31*(Q$8-A30)/(A31-A30)),"")))</f>
        <v/>
      </c>
      <c r="R29" s="67" t="str">
        <f>IF(A30="","",IF(A31="",IF(YEAR(A30)=2005,SUM(D$12:D30),""),IF(AND(YEAR(A30)=2005,YEAR(A31)=2006),SUM(D$12:D30,D31*(R$8-A30)/(A31-A30)),"")))</f>
        <v/>
      </c>
      <c r="S29" s="67" t="str">
        <f>IF(A30="","",IF(A31="",IF(YEAR(A30)=2006,SUM(D$12:D30),""),IF(AND(YEAR(A30)=2006,YEAR(A31)=2007),SUM(D$12:D30,D31*(S$8-A30)/(A31-A30)),"")))</f>
        <v/>
      </c>
      <c r="T29" s="67" t="str">
        <f>IF(A30="","",IF(A31="",IF(YEAR(A30)=2007,SUM(D$12:D30),""),IF(AND(YEAR(A30)=2007,YEAR(A31)=2008),SUM(D$12:D30,D31*(T$8-A30)/(A31-A30)),"")))</f>
        <v/>
      </c>
      <c r="U29" s="67" t="str">
        <f>IF(A30="","",IF(A31="",IF(YEAR(A30)=2008,SUM(D$12:D30),""),IF(AND(YEAR(A30)=2008,YEAR(A31)=2009),SUM(D$12:D30,D31*(U$8-A30)/(A31-A30)),"")))</f>
        <v/>
      </c>
      <c r="V29" s="67" t="str">
        <f>IF(A30="","",IF(A31="",IF(YEAR(A30)=2009,SUM(D$12:D30),""),IF(AND(YEAR(A30)=2009,YEAR(A31)=2010),SUM(D$12:D30,D31*(V$8-A30)/(A31-A30)),"")))</f>
        <v/>
      </c>
      <c r="W29" s="67" t="str">
        <f>IF(A30="","",IF(A31="",IF(YEAR(A30)=2010,SUM(D$12:D30),""),IF(AND(YEAR(A30)=2010,YEAR(A31)=2011),SUM(D$12:D30,D31*(W$8-A30)/(A31-A30)),"")))</f>
        <v/>
      </c>
      <c r="X29" s="67" t="str">
        <f>IF(A30="","",IF(A31="",IF(YEAR(A30)=2011,SUM(D$12:D30),""),IF(AND(YEAR(A30)=2011,YEAR(A31)=2012),SUM(D$12:D30,D31*(X$8-A30)/(A31-A30)),"")))</f>
        <v/>
      </c>
      <c r="Y29" s="72" t="str">
        <f>IF(A30="","",IF(A31="",IF(YEAR(A30)=2012,SUM(D$12:D30),""),IF(AND(YEAR(A30)=2012,YEAR(A31)=2013),SUM(D$12:D30,D31*(Y$8-A30)/(A31-A30)),"")))</f>
        <v/>
      </c>
      <c r="Z29" s="67" t="str">
        <f>IF($A30="","",IF($A31="",IF(YEAR($A30)=2002,SUM($J$12:$J30),""),IF(AND(YEAR($A30)=2002,YEAR($A31)=2003),SUM($J$12:$J30,$J31*(O$8-$A30)/($A31-$A30)),"")))</f>
        <v/>
      </c>
      <c r="AA29" s="67" t="str">
        <f>IF($A30="","",IF($A31="",IF(YEAR($A30)=2003,SUM($J$12:$J30),""),IF(AND(YEAR($A30)=2003,YEAR($A31)=2004),SUM($J$12:$J30,$J31*(P$8-$A30)/($A31-$A30)),"")))</f>
        <v/>
      </c>
      <c r="AB29" s="67" t="str">
        <f>IF($A30="","",IF($A31="",IF(YEAR($A30)=2004,SUM($J$12:$J30),""),IF(AND(YEAR($A30)=2004,YEAR($A31)=2005),SUM($J$12:$J30,$J31*(Q$8-$A30)/($A31-$A30)),"")))</f>
        <v/>
      </c>
      <c r="AC29" s="67" t="str">
        <f>IF($A30="","",IF($A31="",IF(YEAR($A30)=2005,SUM($J$12:$J30),""),IF(AND(YEAR($A30)=2005,YEAR($A31)=2006),SUM($J$12:$J30,$J31*(R$8-$A30)/($A31-$A30)),"")))</f>
        <v/>
      </c>
      <c r="AD29" s="67" t="str">
        <f>IF($A30="","",IF($A31="",IF(YEAR($A30)=2006,SUM($J$12:$J30),""),IF(AND(YEAR($A30)=2006,YEAR($A31)=2007),SUM($J$12:$J30,$J31*(S$8-$A30)/($A31-$A30)),"")))</f>
        <v/>
      </c>
      <c r="AE29" s="67" t="str">
        <f>IF($A30="","",IF($A31="",IF(YEAR($A30)=2007,SUM($J$12:$J30),""),IF(AND(YEAR($A30)=2007,YEAR($A31)=2008),SUM($J$12:$J30,$J31*(T$8-$A30)/($A31-$A30)),"")))</f>
        <v/>
      </c>
      <c r="AF29" s="67" t="str">
        <f>IF($A30="","",IF($A31="",IF(YEAR($A30)=2008,SUM($J$12:$J30),""),IF(AND(YEAR($A30)=2008,YEAR($A31)=2009),SUM($J$12:$J30,$J31*(U$8-$A30)/($A31-$A30)),"")))</f>
        <v/>
      </c>
      <c r="AG29" s="67" t="str">
        <f>IF($A30="","",IF($A31="",IF(YEAR($A30)=2009,SUM($J$12:$J30),""),IF(AND(YEAR($A30)=2009,YEAR($A31)=2010),SUM($J$12:$J30,$J31*(V$8-$A30)/($A31-$A30)),"")))</f>
        <v/>
      </c>
      <c r="AH29" s="67" t="str">
        <f>IF($A30="","",IF($A31="",IF(YEAR($A30)=2010,SUM($J$12:$J30),""),IF(AND(YEAR($A30)=2010,YEAR($A31)=2011),SUM($J$12:$J30,$J31*(W$8-$A30)/($A31-$A30)),"")))</f>
        <v/>
      </c>
      <c r="AI29" s="67" t="str">
        <f>IF($A30="","",IF($A31="",IF(YEAR($A30)=2011,SUM($J$12:$J30),""),IF(AND(YEAR($A30)=2011,YEAR($A31)=2012),SUM($J$12:$J30,$J31*(X$8-$A30)/($A31-$A30)),"")))</f>
        <v/>
      </c>
      <c r="AJ29" s="67" t="str">
        <f>IF($A30="","",IF($A31="",IF(YEAR($A30)=2012,SUM($J$12:$J30),""),IF(AND(YEAR($A30)=2012,YEAR($A31)=2013),SUM($J$12:$J30,$J31*(Y$8-$A30)/($A31-$A30)),"")))</f>
        <v/>
      </c>
    </row>
    <row r="30" spans="1:36" x14ac:dyDescent="0.2">
      <c r="A30" s="308" t="str">
        <f t="shared" si="0"/>
        <v/>
      </c>
      <c r="B30" s="203" t="str">
        <f>IF($E$5*$E$7&lt;18," ",18)</f>
        <v xml:space="preserve"> </v>
      </c>
      <c r="C30" s="201" t="str">
        <f>IF(AND(B28=" ",B29=" ",B30=" ")," ",IF(B29=" ",SUM(C$13:C28),IF(B30=" "," ",D30+E30)))</f>
        <v xml:space="preserve"> </v>
      </c>
      <c r="D30" s="201" t="str">
        <f>IF(AND(B28=" ",B29=" ",B30=" ")," ",IF(B29=" ",SUM(D$13:D28),IF(B30=" "," ",ROUND(F29*E$6/E$7,2))))</f>
        <v xml:space="preserve"> </v>
      </c>
      <c r="E30" s="201" t="str">
        <f>IF(AND(B28=" ",B29=" ",B30=" ")," ",IF(B29=" ",SUM(E$13:E28),IF(B30=" "," ",E$8)))</f>
        <v xml:space="preserve"> </v>
      </c>
      <c r="F30" s="201" t="str">
        <f>IF(AND(B28=" ",B29=" ",B30=" ")," ",IF(B29=" ",SUM(F$12:F27),IF(B30=" "," ",F29-E30)))</f>
        <v xml:space="preserve"> </v>
      </c>
      <c r="G30" s="201" t="str">
        <f>IF(AND(B28=" ",B29=" ",B30=" ")," ",IF(B29=" ",SUM(G$12:G28),IF(B31=" ",IF(E$5*E$7=B30,C30-C$7+C$8+G$10," "),C30)))</f>
        <v xml:space="preserve"> </v>
      </c>
      <c r="H30" s="204" t="str">
        <f>IF(AND(B28=" ",B29=" ",B30=" ")," ",IF(B29=" ",SUM(H$13:H28)*E$7,IF(B30=" "," ",IF(B31=" ",IF(E$5*E$7=B30,IRR(G$12:G30,0.01)," ")," "))))</f>
        <v xml:space="preserve"> </v>
      </c>
      <c r="I30" s="202" t="str">
        <f t="shared" si="1"/>
        <v/>
      </c>
      <c r="J30" s="202" t="str">
        <f t="shared" si="2"/>
        <v/>
      </c>
      <c r="K30" s="54"/>
      <c r="L30" s="50">
        <f>IF(L29=0,0,L28/L29)</f>
        <v>7.0089337581525565E-2</v>
      </c>
      <c r="M30" s="54"/>
      <c r="N30" s="50">
        <f>IF(N29=0,0,N28/N29)</f>
        <v>7.2319237652081522E-2</v>
      </c>
      <c r="O30" s="67" t="str">
        <f>IF($A31="","",IF($A32="",IF(YEAR($A31)=2002,SUM($D$12:$D31),""),IF(AND(YEAR($A31)=2002,YEAR($A32)=2003),SUM($D$12:$D31,$D32*(O$8-$A31)/($A32-$A31)),"")))</f>
        <v/>
      </c>
      <c r="P30" s="67" t="str">
        <f>IF($A31="","",IF($A32="",IF(YEAR($A31)=2003,SUM($D$12:$D31),""),IF(AND(YEAR($A31)=2003,YEAR($A32)=2004),SUM($D$12:$D31,$D32*(P$8-$A31)/($A32-$A31)),"")))</f>
        <v/>
      </c>
      <c r="Q30" s="67" t="str">
        <f>IF(A31="","",IF(A32="",IF(YEAR(A31)=2004,SUM(D$12:D31),""),IF(AND(YEAR(A31)=2004,YEAR(A32)=2005),SUM(D$12:D31,D32*(Q$8-A31)/(A32-A31)),"")))</f>
        <v/>
      </c>
      <c r="R30" s="67" t="str">
        <f>IF(A31="","",IF(A32="",IF(YEAR(A31)=2005,SUM(D$12:D31),""),IF(AND(YEAR(A31)=2005,YEAR(A32)=2006),SUM(D$12:D31,D32*(R$8-A31)/(A32-A31)),"")))</f>
        <v/>
      </c>
      <c r="S30" s="67" t="str">
        <f>IF(A31="","",IF(A32="",IF(YEAR(A31)=2006,SUM(D$12:D31),""),IF(AND(YEAR(A31)=2006,YEAR(A32)=2007),SUM(D$12:D31,D32*(S$8-A31)/(A32-A31)),"")))</f>
        <v/>
      </c>
      <c r="T30" s="67" t="str">
        <f>IF(A31="","",IF(A32="",IF(YEAR(A31)=2007,SUM(D$12:D31),""),IF(AND(YEAR(A31)=2007,YEAR(A32)=2008),SUM(D$12:D31,D32*(T$8-A31)/(A32-A31)),"")))</f>
        <v/>
      </c>
      <c r="U30" s="67" t="str">
        <f>IF(A31="","",IF(A32="",IF(YEAR(A31)=2008,SUM(D$12:D31),""),IF(AND(YEAR(A31)=2008,YEAR(A32)=2009),SUM(D$12:D31,D32*(U$8-A31)/(A32-A31)),"")))</f>
        <v/>
      </c>
      <c r="V30" s="67" t="str">
        <f>IF(A31="","",IF(A32="",IF(YEAR(A31)=2009,SUM(D$12:D31),""),IF(AND(YEAR(A31)=2009,YEAR(A32)=2010),SUM(D$12:D31,D32*(V$8-A31)/(A32-A31)),"")))</f>
        <v/>
      </c>
      <c r="W30" s="67" t="str">
        <f>IF(A31="","",IF(A32="",IF(YEAR(A31)=2010,SUM(D$12:D31),""),IF(AND(YEAR(A31)=2010,YEAR(A32)=2011),SUM(D$12:D31,D32*(W$8-A31)/(A32-A31)),"")))</f>
        <v/>
      </c>
      <c r="X30" s="67" t="str">
        <f>IF(A31="","",IF(A32="",IF(YEAR(A31)=2011,SUM(D$12:D31),""),IF(AND(YEAR(A31)=2011,YEAR(A32)=2012),SUM(D$12:D31,D32*(X$8-A31)/(A32-A31)),"")))</f>
        <v/>
      </c>
      <c r="Y30" s="72" t="str">
        <f>IF(A31="","",IF(A32="",IF(YEAR(A31)=2012,SUM(D$12:D31),""),IF(AND(YEAR(A31)=2012,YEAR(A32)=2013),SUM(D$12:D31,D32*(Y$8-A31)/(A32-A31)),"")))</f>
        <v/>
      </c>
      <c r="Z30" s="67" t="str">
        <f>IF($A31="","",IF($A32="",IF(YEAR($A31)=2002,SUM($J$12:$J31),""),IF(AND(YEAR($A31)=2002,YEAR($A32)=2003),SUM($J$12:$J31,$J32*(O$8-$A31)/($A32-$A31)),"")))</f>
        <v/>
      </c>
      <c r="AA30" s="67" t="str">
        <f>IF($A31="","",IF($A32="",IF(YEAR($A31)=2003,SUM($J$12:$J31),""),IF(AND(YEAR($A31)=2003,YEAR($A32)=2004),SUM($J$12:$J31,$J32*(P$8-$A31)/($A32-$A31)),"")))</f>
        <v/>
      </c>
      <c r="AB30" s="67" t="str">
        <f>IF($A31="","",IF($A32="",IF(YEAR($A31)=2004,SUM($J$12:$J31),""),IF(AND(YEAR($A31)=2004,YEAR($A32)=2005),SUM($J$12:$J31,$J32*(Q$8-$A31)/($A32-$A31)),"")))</f>
        <v/>
      </c>
      <c r="AC30" s="67" t="str">
        <f>IF($A31="","",IF($A32="",IF(YEAR($A31)=2005,SUM($J$12:$J31),""),IF(AND(YEAR($A31)=2005,YEAR($A32)=2006),SUM($J$12:$J31,$J32*(R$8-$A31)/($A32-$A31)),"")))</f>
        <v/>
      </c>
      <c r="AD30" s="67" t="str">
        <f>IF($A31="","",IF($A32="",IF(YEAR($A31)=2006,SUM($J$12:$J31),""),IF(AND(YEAR($A31)=2006,YEAR($A32)=2007),SUM($J$12:$J31,$J32*(S$8-$A31)/($A32-$A31)),"")))</f>
        <v/>
      </c>
      <c r="AE30" s="67" t="str">
        <f>IF($A31="","",IF($A32="",IF(YEAR($A31)=2007,SUM($J$12:$J31),""),IF(AND(YEAR($A31)=2007,YEAR($A32)=2008),SUM($J$12:$J31,$J32*(T$8-$A31)/($A32-$A31)),"")))</f>
        <v/>
      </c>
      <c r="AF30" s="67" t="str">
        <f>IF($A31="","",IF($A32="",IF(YEAR($A31)=2008,SUM($J$12:$J31),""),IF(AND(YEAR($A31)=2008,YEAR($A32)=2009),SUM($J$12:$J31,$J32*(U$8-$A31)/($A32-$A31)),"")))</f>
        <v/>
      </c>
      <c r="AG30" s="67" t="str">
        <f>IF($A31="","",IF($A32="",IF(YEAR($A31)=2009,SUM($J$12:$J31),""),IF(AND(YEAR($A31)=2009,YEAR($A32)=2010),SUM($J$12:$J31,$J32*(V$8-$A31)/($A32-$A31)),"")))</f>
        <v/>
      </c>
      <c r="AH30" s="67" t="str">
        <f>IF($A31="","",IF($A32="",IF(YEAR($A31)=2010,SUM($J$12:$J31),""),IF(AND(YEAR($A31)=2010,YEAR($A32)=2011),SUM($J$12:$J31,$J32*(W$8-$A31)/($A32-$A31)),"")))</f>
        <v/>
      </c>
      <c r="AI30" s="67" t="str">
        <f>IF($A31="","",IF($A32="",IF(YEAR($A31)=2011,SUM($J$12:$J31),""),IF(AND(YEAR($A31)=2011,YEAR($A32)=2012),SUM($J$12:$J31,$J32*(X$8-$A31)/($A32-$A31)),"")))</f>
        <v/>
      </c>
      <c r="AJ30" s="67" t="str">
        <f>IF($A31="","",IF($A32="",IF(YEAR($A31)=2012,SUM($J$12:$J31),""),IF(AND(YEAR($A31)=2012,YEAR($A32)=2013),SUM($J$12:$J31,$J32*(Y$8-$A31)/($A32-$A31)),"")))</f>
        <v/>
      </c>
    </row>
    <row r="31" spans="1:36" x14ac:dyDescent="0.2">
      <c r="A31" s="308" t="str">
        <f t="shared" si="0"/>
        <v/>
      </c>
      <c r="B31" s="203" t="str">
        <f>IF($E$5*$E$7&lt;19," ",19)</f>
        <v xml:space="preserve"> </v>
      </c>
      <c r="C31" s="201" t="str">
        <f>IF(AND(B29=" ",B30=" ",B31=" ")," ",IF(B30=" ",SUM(C$13:C29),IF(B31=" "," ",D31+E31)))</f>
        <v xml:space="preserve"> </v>
      </c>
      <c r="D31" s="201" t="str">
        <f>IF(AND(B29=" ",B30=" ",B31=" ")," ",IF(B30=" ",SUM(D$13:D29),IF(B31=" "," ",ROUND(F30*E$6/E$7,2))))</f>
        <v xml:space="preserve"> </v>
      </c>
      <c r="E31" s="201" t="str">
        <f>IF(AND(B29=" ",B30=" ",B31=" ")," ",IF(B30=" ",SUM(E$13:E29),IF(B31=" "," ",E$8)))</f>
        <v xml:space="preserve"> </v>
      </c>
      <c r="F31" s="201" t="str">
        <f>IF(AND(B29=" ",B30=" ",B31=" ")," ",IF(B30=" ",SUM(F$12:F28),IF(B31=" "," ",F30-E31)))</f>
        <v xml:space="preserve"> </v>
      </c>
      <c r="G31" s="201" t="str">
        <f>IF(AND(B29=" ",B30=" ",B31=" ")," ",IF(B30=" ",SUM(G$12:G29),IF(B32=" ",IF(E$5*E$7=B31,C31-C$7+C$8+G$10," "),C31)))</f>
        <v xml:space="preserve"> </v>
      </c>
      <c r="H31" s="204" t="str">
        <f>IF(AND(B29=" ",B30=" ",B31=" ")," ",IF(B30=" ",SUM(H$13:H29)*E$7,IF(B31=" "," ",IF(B32=" ",IF(E$5*E$7=B31,IRR(G$12:G31,0.01)," ")," "))))</f>
        <v xml:space="preserve"> </v>
      </c>
      <c r="I31" s="202" t="str">
        <f t="shared" si="1"/>
        <v/>
      </c>
      <c r="J31" s="202" t="str">
        <f t="shared" si="2"/>
        <v/>
      </c>
      <c r="K31" s="47" t="s">
        <v>460</v>
      </c>
      <c r="L31" s="48">
        <f>IF((SUM(X11:X133)-L28-L25-L22-L19-L16-L13-L10-L7-L4)&lt;0,0,SUM(X11:X133)/10000-L28-L25-L22-L19-L16-L13-L10-L7-L4)</f>
        <v>257.54740713982147</v>
      </c>
      <c r="M31" s="47" t="s">
        <v>702</v>
      </c>
      <c r="N31" s="48">
        <f>IF(L31=0,0,L31+L34)</f>
        <v>444.01848066298351</v>
      </c>
      <c r="O31" s="67" t="str">
        <f>IF($A32="","",IF($A33="",IF(YEAR($A32)=2002,SUM($D$12:$D32),""),IF(AND(YEAR($A32)=2002,YEAR($A33)=2003),SUM($D$12:$D32,$D33*(O$8-$A32)/($A33-$A32)),"")))</f>
        <v/>
      </c>
      <c r="P31" s="67" t="str">
        <f>IF($A32="","",IF($A33="",IF(YEAR($A32)=2003,SUM($D$12:$D32),""),IF(AND(YEAR($A32)=2003,YEAR($A33)=2004),SUM($D$12:$D32,$D33*(P$8-$A32)/($A33-$A32)),"")))</f>
        <v/>
      </c>
      <c r="Q31" s="67" t="str">
        <f>IF(A32="","",IF(A33="",IF(YEAR(A32)=2004,SUM(D$12:D32),""),IF(AND(YEAR(A32)=2004,YEAR(A33)=2005),SUM(D$12:D32,D33*(Q$8-A32)/(A33-A32)),"")))</f>
        <v/>
      </c>
      <c r="R31" s="67" t="str">
        <f>IF(A32="","",IF(A33="",IF(YEAR(A32)=2005,SUM(D$12:D32),""),IF(AND(YEAR(A32)=2005,YEAR(A33)=2006),SUM(D$12:D32,D33*(R$8-A32)/(A33-A32)),"")))</f>
        <v/>
      </c>
      <c r="S31" s="67" t="str">
        <f>IF(A32="","",IF(A33="",IF(YEAR(A32)=2006,SUM(D$12:D32),""),IF(AND(YEAR(A32)=2006,YEAR(A33)=2007),SUM(D$12:D32,D33*(S$8-A32)/(A33-A32)),"")))</f>
        <v/>
      </c>
      <c r="T31" s="67" t="str">
        <f>IF(A32="","",IF(A33="",IF(YEAR(A32)=2007,SUM(D$12:D32),""),IF(AND(YEAR(A32)=2007,YEAR(A33)=2008),SUM(D$12:D32,D33*(T$8-A32)/(A33-A32)),"")))</f>
        <v/>
      </c>
      <c r="U31" s="67" t="str">
        <f>IF(A32="","",IF(A33="",IF(YEAR(A32)=2008,SUM(D$12:D32),""),IF(AND(YEAR(A32)=2008,YEAR(A33)=2009),SUM(D$12:D32,D33*(U$8-A32)/(A33-A32)),"")))</f>
        <v/>
      </c>
      <c r="V31" s="67" t="str">
        <f>IF(A32="","",IF(A33="",IF(YEAR(A32)=2009,SUM(D$12:D32),""),IF(AND(YEAR(A32)=2009,YEAR(A33)=2010),SUM(D$12:D32,D33*(V$8-A32)/(A33-A32)),"")))</f>
        <v/>
      </c>
      <c r="W31" s="67" t="str">
        <f>IF(A32="","",IF(A33="",IF(YEAR(A32)=2010,SUM(D$12:D32),""),IF(AND(YEAR(A32)=2010,YEAR(A33)=2011),SUM(D$12:D32,D33*(W$8-A32)/(A33-A32)),"")))</f>
        <v/>
      </c>
      <c r="X31" s="67" t="str">
        <f>IF(A32="","",IF(A33="",IF(YEAR(A32)=2011,SUM(D$12:D32),""),IF(AND(YEAR(A32)=2011,YEAR(A33)=2012),SUM(D$12:D32,D33*(X$8-A32)/(A33-A32)),"")))</f>
        <v/>
      </c>
      <c r="Y31" s="72" t="str">
        <f>IF(A32="","",IF(A33="",IF(YEAR(A32)=2012,SUM(D$12:D32),""),IF(AND(YEAR(A32)=2012,YEAR(A33)=2013),SUM(D$12:D32,D33*(Y$8-A32)/(A33-A32)),"")))</f>
        <v/>
      </c>
      <c r="Z31" s="67" t="str">
        <f>IF($A32="","",IF($A33="",IF(YEAR($A32)=2002,SUM($J$12:$J32),""),IF(AND(YEAR($A32)=2002,YEAR($A33)=2003),SUM($J$12:$J32,$J33*(O$8-$A32)/($A33-$A32)),"")))</f>
        <v/>
      </c>
      <c r="AA31" s="67" t="str">
        <f>IF($A32="","",IF($A33="",IF(YEAR($A32)=2003,SUM($J$12:$J32),""),IF(AND(YEAR($A32)=2003,YEAR($A33)=2004),SUM($J$12:$J32,$J33*(P$8-$A32)/($A33-$A32)),"")))</f>
        <v/>
      </c>
      <c r="AB31" s="67" t="str">
        <f>IF($A32="","",IF($A33="",IF(YEAR($A32)=2004,SUM($J$12:$J32),""),IF(AND(YEAR($A32)=2004,YEAR($A33)=2005),SUM($J$12:$J32,$J33*(Q$8-$A32)/($A33-$A32)),"")))</f>
        <v/>
      </c>
      <c r="AC31" s="67" t="str">
        <f>IF($A32="","",IF($A33="",IF(YEAR($A32)=2005,SUM($J$12:$J32),""),IF(AND(YEAR($A32)=2005,YEAR($A33)=2006),SUM($J$12:$J32,$J33*(R$8-$A32)/($A33-$A32)),"")))</f>
        <v/>
      </c>
      <c r="AD31" s="67" t="str">
        <f>IF($A32="","",IF($A33="",IF(YEAR($A32)=2006,SUM($J$12:$J32),""),IF(AND(YEAR($A32)=2006,YEAR($A33)=2007),SUM($J$12:$J32,$J33*(S$8-$A32)/($A33-$A32)),"")))</f>
        <v/>
      </c>
      <c r="AE31" s="67" t="str">
        <f>IF($A32="","",IF($A33="",IF(YEAR($A32)=2007,SUM($J$12:$J32),""),IF(AND(YEAR($A32)=2007,YEAR($A33)=2008),SUM($J$12:$J32,$J33*(T$8-$A32)/($A33-$A32)),"")))</f>
        <v/>
      </c>
      <c r="AF31" s="67" t="str">
        <f>IF($A32="","",IF($A33="",IF(YEAR($A32)=2008,SUM($J$12:$J32),""),IF(AND(YEAR($A32)=2008,YEAR($A33)=2009),SUM($J$12:$J32,$J33*(U$8-$A32)/($A33-$A32)),"")))</f>
        <v/>
      </c>
      <c r="AG31" s="67" t="str">
        <f>IF($A32="","",IF($A33="",IF(YEAR($A32)=2009,SUM($J$12:$J32),""),IF(AND(YEAR($A32)=2009,YEAR($A33)=2010),SUM($J$12:$J32,$J33*(V$8-$A32)/($A33-$A32)),"")))</f>
        <v/>
      </c>
      <c r="AH31" s="67" t="str">
        <f>IF($A32="","",IF($A33="",IF(YEAR($A32)=2010,SUM($J$12:$J32),""),IF(AND(YEAR($A32)=2010,YEAR($A33)=2011),SUM($J$12:$J32,$J33*(W$8-$A32)/($A33-$A32)),"")))</f>
        <v/>
      </c>
      <c r="AI31" s="67" t="str">
        <f>IF($A32="","",IF($A33="",IF(YEAR($A32)=2011,SUM($J$12:$J32),""),IF(AND(YEAR($A32)=2011,YEAR($A33)=2012),SUM($J$12:$J32,$J33*(X$8-$A32)/($A33-$A32)),"")))</f>
        <v/>
      </c>
      <c r="AJ31" s="67" t="str">
        <f>IF($A32="","",IF($A33="",IF(YEAR($A32)=2012,SUM($J$12:$J32),""),IF(AND(YEAR($A32)=2012,YEAR($A33)=2013),SUM($J$12:$J32,$J33*(Y$8-$A32)/($A33-$A32)),"")))</f>
        <v/>
      </c>
    </row>
    <row r="32" spans="1:36" x14ac:dyDescent="0.2">
      <c r="A32" s="309" t="str">
        <f t="shared" si="0"/>
        <v/>
      </c>
      <c r="B32" s="203" t="str">
        <f>IF($E$5*$E$7&lt;20," ",20)</f>
        <v xml:space="preserve"> </v>
      </c>
      <c r="C32" s="201" t="str">
        <f>IF(AND(B30=" ",B31=" ",B32=" ")," ",IF(B31=" ",SUM(C$13:C30),IF(B32=" "," ",D32+E32)))</f>
        <v xml:space="preserve"> </v>
      </c>
      <c r="D32" s="201" t="str">
        <f>IF(AND(B30=" ",B31=" ",B32=" ")," ",IF(B31=" ",SUM(D$13:D30),IF(B32=" "," ",ROUND(F31*E$6/E$7,2))))</f>
        <v xml:space="preserve"> </v>
      </c>
      <c r="E32" s="201" t="str">
        <f>IF(AND(B30=" ",B31=" ",B32=" ")," ",IF(B31=" ",SUM(E$13:E30),IF(B32=" "," ",E$8)))</f>
        <v xml:space="preserve"> </v>
      </c>
      <c r="F32" s="201" t="str">
        <f>IF(AND(B30=" ",B31=" ",B32=" ")," ",IF(B31=" ",SUM(F$12:F29),IF(B32=" "," ",F31-E32)))</f>
        <v xml:space="preserve"> </v>
      </c>
      <c r="G32" s="201" t="str">
        <f>IF(AND(B30=" ",B31=" ",B32=" ")," ",IF(B31=" ",SUM(G$12:G30),IF(B33=" ",IF(E$5*E$7=B32,C32-C$7+C$8+G$10," "),C32)))</f>
        <v xml:space="preserve"> </v>
      </c>
      <c r="H32" s="204" t="str">
        <f>IF(AND(B30=" ",B31=" ",B32=" ")," ",IF(B31=" ",SUM(H$13:H30)*E$7,IF(B32=" "," ",IF(B33=" ",IF(E$5*E$7=B32,IRR(G$12:G32,0.01)," ")," "))))</f>
        <v xml:space="preserve"> </v>
      </c>
      <c r="I32" s="202" t="str">
        <f t="shared" si="1"/>
        <v/>
      </c>
      <c r="J32" s="202" t="str">
        <f t="shared" si="2"/>
        <v/>
      </c>
      <c r="K32" s="53" t="s">
        <v>461</v>
      </c>
      <c r="L32" s="48">
        <f>IF((SUM(AI11:AI133)-L29-L26-L23-L20-L17-L14-L11-L8-L5)&lt;0,0,SUM(AI11:AI133)/10000-L29-L26-L23-L20-L17-L14-L11-L8-L5)</f>
        <v>3572.2</v>
      </c>
      <c r="M32" s="53" t="s">
        <v>703</v>
      </c>
      <c r="N32" s="48">
        <f>IF(L32=0,0,L32+L35)</f>
        <v>6001.7780821917813</v>
      </c>
      <c r="O32" s="67" t="str">
        <f>IF($A33="","",IF($A34="",IF(YEAR($A33)=2002,SUM($D$12:$D33),""),IF(AND(YEAR($A33)=2002,YEAR($A34)=2003),SUM($D$12:$D33,$D34*(O$8-$A33)/($A34-$A33)),"")))</f>
        <v/>
      </c>
      <c r="P32" s="67" t="str">
        <f>IF($A33="","",IF($A34="",IF(YEAR($A33)=2003,SUM($D$12:$D33),""),IF(AND(YEAR($A33)=2003,YEAR($A34)=2004),SUM($D$12:$D33,$D34*(P$8-$A33)/($A34-$A33)),"")))</f>
        <v/>
      </c>
      <c r="Q32" s="67" t="str">
        <f>IF(A33="","",IF(A34="",IF(YEAR(A33)=2004,SUM(D$12:D33),""),IF(AND(YEAR(A33)=2004,YEAR(A34)=2005),SUM(D$12:D33,D34*(Q$8-A33)/(A34-A33)),"")))</f>
        <v/>
      </c>
      <c r="R32" s="67" t="str">
        <f>IF(A33="","",IF(A34="",IF(YEAR(A33)=2005,SUM(D$12:D33),""),IF(AND(YEAR(A33)=2005,YEAR(A34)=2006),SUM(D$12:D33,D34*(R$8-A33)/(A34-A33)),"")))</f>
        <v/>
      </c>
      <c r="S32" s="67" t="str">
        <f>IF(A33="","",IF(A34="",IF(YEAR(A33)=2006,SUM(D$12:D33),""),IF(AND(YEAR(A33)=2006,YEAR(A34)=2007),SUM(D$12:D33,D34*(S$8-A33)/(A34-A33)),"")))</f>
        <v/>
      </c>
      <c r="T32" s="67" t="str">
        <f>IF(A33="","",IF(A34="",IF(YEAR(A33)=2007,SUM(D$12:D33),""),IF(AND(YEAR(A33)=2007,YEAR(A34)=2008),SUM(D$12:D33,D34*(T$8-A33)/(A34-A33)),"")))</f>
        <v/>
      </c>
      <c r="U32" s="67" t="str">
        <f>IF(A33="","",IF(A34="",IF(YEAR(A33)=2008,SUM(D$12:D33),""),IF(AND(YEAR(A33)=2008,YEAR(A34)=2009),SUM(D$12:D33,D34*(U$8-A33)/(A34-A33)),"")))</f>
        <v/>
      </c>
      <c r="V32" s="67" t="str">
        <f>IF(A33="","",IF(A34="",IF(YEAR(A33)=2009,SUM(D$12:D33),""),IF(AND(YEAR(A33)=2009,YEAR(A34)=2010),SUM(D$12:D33,D34*(V$8-A33)/(A34-A33)),"")))</f>
        <v/>
      </c>
      <c r="W32" s="67" t="str">
        <f>IF(A33="","",IF(A34="",IF(YEAR(A33)=2010,SUM(D$12:D33),""),IF(AND(YEAR(A33)=2010,YEAR(A34)=2011),SUM(D$12:D33,D34*(W$8-A33)/(A34-A33)),"")))</f>
        <v/>
      </c>
      <c r="X32" s="67" t="str">
        <f>IF(A33="","",IF(A34="",IF(YEAR(A33)=2011,SUM(D$12:D33),""),IF(AND(YEAR(A33)=2011,YEAR(A34)=2012),SUM(D$12:D33,D34*(X$8-A33)/(A34-A33)),"")))</f>
        <v/>
      </c>
      <c r="Y32" s="72" t="str">
        <f>IF(A33="","",IF(A34="",IF(YEAR(A33)=2012,SUM(D$12:D33),""),IF(AND(YEAR(A33)=2012,YEAR(A34)=2013),SUM(D$12:D33,D34*(Y$8-A33)/(A34-A33)),"")))</f>
        <v/>
      </c>
      <c r="Z32" s="67" t="str">
        <f>IF($A33="","",IF($A34="",IF(YEAR($A33)=2002,SUM($J$12:$J33),""),IF(AND(YEAR($A33)=2002,YEAR($A34)=2003),SUM($J$12:$J33,$J34*(O$8-$A33)/($A34-$A33)),"")))</f>
        <v/>
      </c>
      <c r="AA32" s="67" t="str">
        <f>IF($A33="","",IF($A34="",IF(YEAR($A33)=2003,SUM($J$12:$J33),""),IF(AND(YEAR($A33)=2003,YEAR($A34)=2004),SUM($J$12:$J33,$J34*(P$8-$A33)/($A34-$A33)),"")))</f>
        <v/>
      </c>
      <c r="AB32" s="67" t="str">
        <f>IF($A33="","",IF($A34="",IF(YEAR($A33)=2004,SUM($J$12:$J33),""),IF(AND(YEAR($A33)=2004,YEAR($A34)=2005),SUM($J$12:$J33,$J34*(Q$8-$A33)/($A34-$A33)),"")))</f>
        <v/>
      </c>
      <c r="AC32" s="67" t="str">
        <f>IF($A33="","",IF($A34="",IF(YEAR($A33)=2005,SUM($J$12:$J33),""),IF(AND(YEAR($A33)=2005,YEAR($A34)=2006),SUM($J$12:$J33,$J34*(R$8-$A33)/($A34-$A33)),"")))</f>
        <v/>
      </c>
      <c r="AD32" s="67" t="str">
        <f>IF($A33="","",IF($A34="",IF(YEAR($A33)=2006,SUM($J$12:$J33),""),IF(AND(YEAR($A33)=2006,YEAR($A34)=2007),SUM($J$12:$J33,$J34*(S$8-$A33)/($A34-$A33)),"")))</f>
        <v/>
      </c>
      <c r="AE32" s="67" t="str">
        <f>IF($A33="","",IF($A34="",IF(YEAR($A33)=2007,SUM($J$12:$J33),""),IF(AND(YEAR($A33)=2007,YEAR($A34)=2008),SUM($J$12:$J33,$J34*(T$8-$A33)/($A34-$A33)),"")))</f>
        <v/>
      </c>
      <c r="AF32" s="67" t="str">
        <f>IF($A33="","",IF($A34="",IF(YEAR($A33)=2008,SUM($J$12:$J33),""),IF(AND(YEAR($A33)=2008,YEAR($A34)=2009),SUM($J$12:$J33,$J34*(U$8-$A33)/($A34-$A33)),"")))</f>
        <v/>
      </c>
      <c r="AG32" s="67" t="str">
        <f>IF($A33="","",IF($A34="",IF(YEAR($A33)=2009,SUM($J$12:$J33),""),IF(AND(YEAR($A33)=2009,YEAR($A34)=2010),SUM($J$12:$J33,$J34*(V$8-$A33)/($A34-$A33)),"")))</f>
        <v/>
      </c>
      <c r="AH32" s="67" t="str">
        <f>IF($A33="","",IF($A34="",IF(YEAR($A33)=2010,SUM($J$12:$J33),""),IF(AND(YEAR($A33)=2010,YEAR($A34)=2011),SUM($J$12:$J33,$J34*(W$8-$A33)/($A34-$A33)),"")))</f>
        <v/>
      </c>
      <c r="AI32" s="67" t="str">
        <f>IF($A33="","",IF($A34="",IF(YEAR($A33)=2011,SUM($J$12:$J33),""),IF(AND(YEAR($A33)=2011,YEAR($A34)=2012),SUM($J$12:$J33,$J34*(X$8-$A33)/($A34-$A33)),"")))</f>
        <v/>
      </c>
      <c r="AJ32" s="67" t="str">
        <f>IF($A33="","",IF($A34="",IF(YEAR($A33)=2012,SUM($J$12:$J33),""),IF(AND(YEAR($A33)=2012,YEAR($A34)=2013),SUM($J$12:$J33,$J34*(Y$8-$A33)/($A34-$A33)),"")))</f>
        <v/>
      </c>
    </row>
    <row r="33" spans="1:36" s="205" customFormat="1" x14ac:dyDescent="0.2">
      <c r="A33" s="309" t="str">
        <f t="shared" si="0"/>
        <v/>
      </c>
      <c r="B33" s="203" t="str">
        <f>IF($E$5*$E$7&lt;21," ",21)</f>
        <v xml:space="preserve"> </v>
      </c>
      <c r="C33" s="201" t="str">
        <f>IF(AND(B31=" ",B32=" ",B33=" ")," ",IF(B32=" ",SUM(C$13:C31),IF(B33=" "," ",D33+E33)))</f>
        <v xml:space="preserve"> </v>
      </c>
      <c r="D33" s="201" t="str">
        <f>IF(AND(B31=" ",B32=" ",B33=" ")," ",IF(B32=" ",SUM(D$13:D31),IF(B33=" "," ",ROUND(F32*E$6/E$7,2))))</f>
        <v xml:space="preserve"> </v>
      </c>
      <c r="E33" s="201" t="str">
        <f>IF(AND(B31=" ",B32=" ",B33=" ")," ",IF(B32=" ",SUM(E$13:E31),IF(B33=" "," ",E$8)))</f>
        <v xml:space="preserve"> </v>
      </c>
      <c r="F33" s="201" t="str">
        <f>IF(AND(B31=" ",B32=" ",B33=" ")," ",IF(B32=" ",SUM(F$12:F30),IF(B33=" "," ",F32-E33)))</f>
        <v xml:space="preserve"> </v>
      </c>
      <c r="G33" s="201" t="str">
        <f>IF(AND(B31=" ",B32=" ",B33=" ")," ",IF(B32=" ",SUM(G$12:G31),IF(B34=" ",IF(E$5*E$7=B33,C33-C$7+C$8+G$10," "),C33)))</f>
        <v xml:space="preserve"> </v>
      </c>
      <c r="H33" s="204" t="str">
        <f>IF(AND(B31=" ",B32=" ",B33=" ")," ",IF(B32=" ",SUM(H$13:H31)*E$7,IF(B33=" "," ",IF(B34=" ",IF(E$5*E$7=B33,IRR(G$12:G33,0.01)," ")," "))))</f>
        <v xml:space="preserve"> </v>
      </c>
      <c r="I33" s="202" t="str">
        <f t="shared" si="1"/>
        <v/>
      </c>
      <c r="J33" s="202" t="str">
        <f t="shared" si="2"/>
        <v/>
      </c>
      <c r="K33" s="54"/>
      <c r="L33" s="50">
        <f>IF(L32=0,0,L31/L32)</f>
        <v>7.2097700895756539E-2</v>
      </c>
      <c r="M33" s="54"/>
      <c r="N33" s="50">
        <f>IF(N32=0,0,N31/N32)</f>
        <v>7.3981156014491123E-2</v>
      </c>
      <c r="O33" s="67" t="str">
        <f>IF($A34="","",IF($A35="",IF(YEAR($A34)=2002,SUM($D$12:$D34),""),IF(AND(YEAR($A34)=2002,YEAR($A35)=2003),SUM($D$12:$D34,$D35*(O$8-$A34)/($A35-$A34)),"")))</f>
        <v/>
      </c>
      <c r="P33" s="67" t="str">
        <f>IF($A34="","",IF($A35="",IF(YEAR($A34)=2003,SUM($D$12:$D34),""),IF(AND(YEAR($A34)=2003,YEAR($A35)=2004),SUM($D$12:$D34,$D35*(P$8-$A34)/($A35-$A34)),"")))</f>
        <v/>
      </c>
      <c r="Q33" s="67" t="str">
        <f>IF(A34="","",IF(A35="",IF(YEAR(A34)=2004,SUM(D$12:D34),""),IF(AND(YEAR(A34)=2004,YEAR(A35)=2005),SUM(D$12:D34,D35*(Q$8-A34)/(A35-A34)),"")))</f>
        <v/>
      </c>
      <c r="R33" s="67" t="str">
        <f>IF(A34="","",IF(A35="",IF(YEAR(A34)=2005,SUM(D$12:D34),""),IF(AND(YEAR(A34)=2005,YEAR(A35)=2006),SUM(D$12:D34,D35*(R$8-A34)/(A35-A34)),"")))</f>
        <v/>
      </c>
      <c r="S33" s="67" t="str">
        <f>IF(A34="","",IF(A35="",IF(YEAR(A34)=2006,SUM(D$12:D34),""),IF(AND(YEAR(A34)=2006,YEAR(A35)=2007),SUM(D$12:D34,D35*(S$8-A34)/(A35-A34)),"")))</f>
        <v/>
      </c>
      <c r="T33" s="67" t="str">
        <f>IF(A34="","",IF(A35="",IF(YEAR(A34)=2007,SUM(D$12:D34),""),IF(AND(YEAR(A34)=2007,YEAR(A35)=2008),SUM(D$12:D34,D35*(T$8-A34)/(A35-A34)),"")))</f>
        <v/>
      </c>
      <c r="U33" s="67" t="str">
        <f>IF(A34="","",IF(A35="",IF(YEAR(A34)=2008,SUM(D$12:D34),""),IF(AND(YEAR(A34)=2008,YEAR(A35)=2009),SUM(D$12:D34,D35*(U$8-A34)/(A35-A34)),"")))</f>
        <v/>
      </c>
      <c r="V33" s="67" t="str">
        <f>IF(A34="","",IF(A35="",IF(YEAR(A34)=2009,SUM(D$12:D34),""),IF(AND(YEAR(A34)=2009,YEAR(A35)=2010),SUM(D$12:D34,D35*(V$8-A34)/(A35-A34)),"")))</f>
        <v/>
      </c>
      <c r="W33" s="67" t="str">
        <f>IF(A34="","",IF(A35="",IF(YEAR(A34)=2010,SUM(D$12:D34),""),IF(AND(YEAR(A34)=2010,YEAR(A35)=2011),SUM(D$12:D34,D35*(W$8-A34)/(A35-A34)),"")))</f>
        <v/>
      </c>
      <c r="X33" s="67" t="str">
        <f>IF(A34="","",IF(A35="",IF(YEAR(A34)=2011,SUM(D$12:D34),""),IF(AND(YEAR(A34)=2011,YEAR(A35)=2012),SUM(D$12:D34,D35*(X$8-A34)/(A35-A34)),"")))</f>
        <v/>
      </c>
      <c r="Y33" s="72" t="str">
        <f>IF(A34="","",IF(A35="",IF(YEAR(A34)=2012,SUM(D$12:D34),""),IF(AND(YEAR(A34)=2012,YEAR(A35)=2013),SUM(D$12:D34,D35*(Y$8-A34)/(A35-A34)),"")))</f>
        <v/>
      </c>
      <c r="Z33" s="67" t="str">
        <f>IF($A34="","",IF($A35="",IF(YEAR($A34)=2002,SUM($J$12:$J34),""),IF(AND(YEAR($A34)=2002,YEAR($A35)=2003),SUM($J$12:$J34,$J35*(O$8-$A34)/($A35-$A34)),"")))</f>
        <v/>
      </c>
      <c r="AA33" s="67" t="str">
        <f>IF($A34="","",IF($A35="",IF(YEAR($A34)=2003,SUM($J$12:$J34),""),IF(AND(YEAR($A34)=2003,YEAR($A35)=2004),SUM($J$12:$J34,$J35*(P$8-$A34)/($A35-$A34)),"")))</f>
        <v/>
      </c>
      <c r="AB33" s="67" t="str">
        <f>IF($A34="","",IF($A35="",IF(YEAR($A34)=2004,SUM($J$12:$J34),""),IF(AND(YEAR($A34)=2004,YEAR($A35)=2005),SUM($J$12:$J34,$J35*(Q$8-$A34)/($A35-$A34)),"")))</f>
        <v/>
      </c>
      <c r="AC33" s="67" t="str">
        <f>IF($A34="","",IF($A35="",IF(YEAR($A34)=2005,SUM($J$12:$J34),""),IF(AND(YEAR($A34)=2005,YEAR($A35)=2006),SUM($J$12:$J34,$J35*(R$8-$A34)/($A35-$A34)),"")))</f>
        <v/>
      </c>
      <c r="AD33" s="67" t="str">
        <f>IF($A34="","",IF($A35="",IF(YEAR($A34)=2006,SUM($J$12:$J34),""),IF(AND(YEAR($A34)=2006,YEAR($A35)=2007),SUM($J$12:$J34,$J35*(S$8-$A34)/($A35-$A34)),"")))</f>
        <v/>
      </c>
      <c r="AE33" s="67" t="str">
        <f>IF($A34="","",IF($A35="",IF(YEAR($A34)=2007,SUM($J$12:$J34),""),IF(AND(YEAR($A34)=2007,YEAR($A35)=2008),SUM($J$12:$J34,$J35*(T$8-$A34)/($A35-$A34)),"")))</f>
        <v/>
      </c>
      <c r="AF33" s="67" t="str">
        <f>IF($A34="","",IF($A35="",IF(YEAR($A34)=2008,SUM($J$12:$J34),""),IF(AND(YEAR($A34)=2008,YEAR($A35)=2009),SUM($J$12:$J34,$J35*(U$8-$A34)/($A35-$A34)),"")))</f>
        <v/>
      </c>
      <c r="AG33" s="67" t="str">
        <f>IF($A34="","",IF($A35="",IF(YEAR($A34)=2009,SUM($J$12:$J34),""),IF(AND(YEAR($A34)=2009,YEAR($A35)=2010),SUM($J$12:$J34,$J35*(V$8-$A34)/($A35-$A34)),"")))</f>
        <v/>
      </c>
      <c r="AH33" s="67" t="str">
        <f>IF($A34="","",IF($A35="",IF(YEAR($A34)=2010,SUM($J$12:$J34),""),IF(AND(YEAR($A34)=2010,YEAR($A35)=2011),SUM($J$12:$J34,$J35*(W$8-$A34)/($A35-$A34)),"")))</f>
        <v/>
      </c>
      <c r="AI33" s="67" t="str">
        <f>IF($A34="","",IF($A35="",IF(YEAR($A34)=2011,SUM($J$12:$J34),""),IF(AND(YEAR($A34)=2011,YEAR($A35)=2012),SUM($J$12:$J34,$J35*(X$8-$A34)/($A35-$A34)),"")))</f>
        <v/>
      </c>
      <c r="AJ33" s="67" t="str">
        <f>IF($A34="","",IF($A35="",IF(YEAR($A34)=2012,SUM($J$12:$J34),""),IF(AND(YEAR($A34)=2012,YEAR($A35)=2013),SUM($J$12:$J34,$J35*(Y$8-$A34)/($A35-$A34)),"")))</f>
        <v/>
      </c>
    </row>
    <row r="34" spans="1:36" x14ac:dyDescent="0.2">
      <c r="A34" s="309" t="str">
        <f t="shared" si="0"/>
        <v/>
      </c>
      <c r="B34" s="203" t="str">
        <f>IF($E$5*$E$7&lt;22," ",22)</f>
        <v xml:space="preserve"> </v>
      </c>
      <c r="C34" s="201" t="str">
        <f>IF(AND(B32=" ",B33=" ",B34=" ")," ",IF(B33=" ",SUM(C$13:C32),IF(B34=" "," ",D34+E34)))</f>
        <v xml:space="preserve"> </v>
      </c>
      <c r="D34" s="201" t="str">
        <f>IF(AND(B32=" ",B33=" ",B34=" ")," ",IF(B33=" ",SUM(D$13:D32),IF(B34=" "," ",ROUND(F33*E$6/E$7,2))))</f>
        <v xml:space="preserve"> </v>
      </c>
      <c r="E34" s="201" t="str">
        <f>IF(AND(B32=" ",B33=" ",B34=" ")," ",IF(B33=" ",SUM(E$13:E32),IF(B34=" "," ",E$8)))</f>
        <v xml:space="preserve"> </v>
      </c>
      <c r="F34" s="201" t="str">
        <f>IF(AND(B32=" ",B33=" ",B34=" ")," ",IF(B33=" ",SUM(F$12:F31),IF(B34=" "," ",F33-E34)))</f>
        <v xml:space="preserve"> </v>
      </c>
      <c r="G34" s="201" t="str">
        <f>IF(AND(B32=" ",B33=" ",B34=" ")," ",IF(B33=" ",SUM(G$12:G32),IF(B35=" ",IF(E$5*E$7=B34,C34-C$7+C$8+G$10," "),C34)))</f>
        <v xml:space="preserve"> </v>
      </c>
      <c r="H34" s="204" t="str">
        <f>IF(AND(B32=" ",B33=" ",B34=" ")," ",IF(B33=" ",SUM(H$13:H32)*E$7,IF(B34=" "," ",IF(B35=" ",IF(E$5*E$7=B34,IRR(G$12:G34,0.01)," ")," "))))</f>
        <v xml:space="preserve"> </v>
      </c>
      <c r="I34" s="202" t="str">
        <f t="shared" si="1"/>
        <v/>
      </c>
      <c r="J34" s="202" t="str">
        <f t="shared" si="2"/>
        <v/>
      </c>
      <c r="K34" s="47" t="s">
        <v>462</v>
      </c>
      <c r="L34" s="48">
        <f>IF((SUM(Y11:Y133)-L31-L28-L25-L22-L19-L16-L13-L10-L7-L4)&lt;0,0,SUM(Y11:Y133)/10000-L31-L28-L25-L22-L19-L16-L13-L10-L7-L4)</f>
        <v>186.47107352316203</v>
      </c>
      <c r="M34" s="47" t="s">
        <v>463</v>
      </c>
      <c r="N34" s="48">
        <f>IF(L34=0,0,L34)</f>
        <v>186.47107352316203</v>
      </c>
      <c r="O34" s="67"/>
      <c r="P34" s="67" t="str">
        <f>IF($A35="","",IF($A36="",IF(YEAR($A35)=2003,SUM($D$12:$D35),""),IF(AND(YEAR($A35)=2003,YEAR($A36)=2004),SUM($D$12:$D35,$D36*(P$8-$A35)/($A36-$A35)),"")))</f>
        <v/>
      </c>
      <c r="Q34" s="67" t="str">
        <f>IF(A35="","",IF(A36="",IF(YEAR(A35)=2004,SUM(D$12:D35),""),IF(AND(YEAR(A35)=2004,YEAR(A36)=2005),SUM(D$12:D35,D36*(Q$8-A35)/(A36-A35)),"")))</f>
        <v/>
      </c>
      <c r="R34" s="67" t="str">
        <f>IF(A35="","",IF(A36="",IF(YEAR(A35)=2005,SUM(D$12:D35),""),IF(AND(YEAR(A35)=2005,YEAR(A36)=2006),SUM(D$12:D35,D36*(R$8-A35)/(A36-A35)),"")))</f>
        <v/>
      </c>
      <c r="S34" s="67" t="str">
        <f>IF(A35="","",IF(A36="",IF(YEAR(A35)=2006,SUM(D$12:D35),""),IF(AND(YEAR(A35)=2006,YEAR(A36)=2007),SUM(D$12:D35,D36*(S$8-A35)/(A36-A35)),"")))</f>
        <v/>
      </c>
      <c r="T34" s="67" t="str">
        <f>IF(A35="","",IF(A36="",IF(YEAR(A35)=2007,SUM(D$12:D35),""),IF(AND(YEAR(A35)=2007,YEAR(A36)=2008),SUM(D$12:D35,D36*(T$8-A35)/(A36-A35)),"")))</f>
        <v/>
      </c>
      <c r="U34" s="67" t="str">
        <f>IF(A35="","",IF(A36="",IF(YEAR(A35)=2008,SUM(D$12:D35),""),IF(AND(YEAR(A35)=2008,YEAR(A36)=2009),SUM(D$12:D35,D36*(U$8-A35)/(A36-A35)),"")))</f>
        <v/>
      </c>
      <c r="V34" s="67" t="str">
        <f>IF(A35="","",IF(A36="",IF(YEAR(A35)=2009,SUM(D$12:D35),""),IF(AND(YEAR(A35)=2009,YEAR(A36)=2010),SUM(D$12:D35,D36*(V$8-A35)/(A36-A35)),"")))</f>
        <v/>
      </c>
      <c r="W34" s="67" t="str">
        <f>IF(A35="","",IF(A36="",IF(YEAR(A35)=2010,SUM(D$12:D35),""),IF(AND(YEAR(A35)=2010,YEAR(A36)=2011),SUM(D$12:D35,D36*(W$8-A35)/(A36-A35)),"")))</f>
        <v/>
      </c>
      <c r="X34" s="67" t="str">
        <f>IF(A35="","",IF(A36="",IF(YEAR(A35)=2011,SUM(D$12:D35),""),IF(AND(YEAR(A35)=2011,YEAR(A36)=2012),SUM(D$12:D35,D36*(X$8-A35)/(A36-A35)),"")))</f>
        <v/>
      </c>
      <c r="Y34" s="72" t="str">
        <f>IF(A35="","",IF(A36="",IF(YEAR(A35)=2012,SUM(D$12:D35),""),IF(AND(YEAR(A35)=2012,YEAR(A36)=2013),SUM(D$12:D35,D36*(Y$8-A35)/(A36-A35)),"")))</f>
        <v/>
      </c>
      <c r="Z34" s="67" t="str">
        <f>IF($A35="","",IF($A36="",IF(YEAR($A35)=2002,SUM($J$12:$J35),""),IF(AND(YEAR($A35)=2002,YEAR($A36)=2003),SUM($J$12:$J35,$J36*(O$8-$A35)/($A36-$A35)),"")))</f>
        <v/>
      </c>
      <c r="AA34" s="67" t="str">
        <f>IF($A35="","",IF($A36="",IF(YEAR($A35)=2003,SUM($J$12:$J35),""),IF(AND(YEAR($A35)=2003,YEAR($A36)=2004),SUM($J$12:$J35,$J36*(P$8-$A35)/($A36-$A35)),"")))</f>
        <v/>
      </c>
      <c r="AB34" s="67" t="str">
        <f>IF($A35="","",IF($A36="",IF(YEAR($A35)=2004,SUM($J$12:$J35),""),IF(AND(YEAR($A35)=2004,YEAR($A36)=2005),SUM($J$12:$J35,$J36*(Q$8-$A35)/($A36-$A35)),"")))</f>
        <v/>
      </c>
      <c r="AC34" s="67" t="str">
        <f>IF($A35="","",IF($A36="",IF(YEAR($A35)=2005,SUM($J$12:$J35),""),IF(AND(YEAR($A35)=2005,YEAR($A36)=2006),SUM($J$12:$J35,$J36*(R$8-$A35)/($A36-$A35)),"")))</f>
        <v/>
      </c>
      <c r="AD34" s="67" t="str">
        <f>IF($A35="","",IF($A36="",IF(YEAR($A35)=2006,SUM($J$12:$J35),""),IF(AND(YEAR($A35)=2006,YEAR($A36)=2007),SUM($J$12:$J35,$J36*(S$8-$A35)/($A36-$A35)),"")))</f>
        <v/>
      </c>
      <c r="AE34" s="67" t="str">
        <f>IF($A35="","",IF($A36="",IF(YEAR($A35)=2007,SUM($J$12:$J35),""),IF(AND(YEAR($A35)=2007,YEAR($A36)=2008),SUM($J$12:$J35,$J36*(T$8-$A35)/($A36-$A35)),"")))</f>
        <v/>
      </c>
      <c r="AF34" s="67" t="str">
        <f>IF($A35="","",IF($A36="",IF(YEAR($A35)=2008,SUM($J$12:$J35),""),IF(AND(YEAR($A35)=2008,YEAR($A36)=2009),SUM($J$12:$J35,$J36*(U$8-$A35)/($A36-$A35)),"")))</f>
        <v/>
      </c>
      <c r="AG34" s="67" t="str">
        <f>IF($A35="","",IF($A36="",IF(YEAR($A35)=2009,SUM($J$12:$J35),""),IF(AND(YEAR($A35)=2009,YEAR($A36)=2010),SUM($J$12:$J35,$J36*(V$8-$A35)/($A36-$A35)),"")))</f>
        <v/>
      </c>
      <c r="AH34" s="67" t="str">
        <f>IF($A35="","",IF($A36="",IF(YEAR($A35)=2010,SUM($J$12:$J35),""),IF(AND(YEAR($A35)=2010,YEAR($A36)=2011),SUM($J$12:$J35,$J36*(W$8-$A35)/($A36-$A35)),"")))</f>
        <v/>
      </c>
      <c r="AI34" s="67" t="str">
        <f>IF($A35="","",IF($A36="",IF(YEAR($A35)=2011,SUM($J$12:$J35),""),IF(AND(YEAR($A35)=2011,YEAR($A36)=2012),SUM($J$12:$J35,$J36*(X$8-$A35)/($A36-$A35)),"")))</f>
        <v/>
      </c>
      <c r="AJ34" s="67" t="str">
        <f>IF($A35="","",IF($A36="",IF(YEAR($A35)=2012,SUM($J$12:$J35),""),IF(AND(YEAR($A35)=2012,YEAR($A36)=2013),SUM($J$12:$J35,$J36*(Y$8-$A35)/($A36-$A35)),"")))</f>
        <v/>
      </c>
    </row>
    <row r="35" spans="1:36" x14ac:dyDescent="0.2">
      <c r="A35" s="309" t="str">
        <f t="shared" si="0"/>
        <v/>
      </c>
      <c r="B35" s="203" t="str">
        <f>IF($E$5*$E$7&lt;23," ",23)</f>
        <v xml:space="preserve"> </v>
      </c>
      <c r="C35" s="201" t="str">
        <f>IF(AND(B33=" ",B34=" ",B35=" ")," ",IF(B34=" ",SUM(C$13:C33),IF(B35=" "," ",D35+E35)))</f>
        <v xml:space="preserve"> </v>
      </c>
      <c r="D35" s="201" t="str">
        <f>IF(AND(B33=" ",B34=" ",B35=" ")," ",IF(B34=" ",SUM(D$13:D33),IF(B35=" "," ",ROUND(F34*E$6/E$7,2))))</f>
        <v xml:space="preserve"> </v>
      </c>
      <c r="E35" s="201" t="str">
        <f>IF(AND(B33=" ",B34=" ",B35=" ")," ",IF(B34=" ",SUM(E$13:E33),IF(B35=" "," ",E$8)))</f>
        <v xml:space="preserve"> </v>
      </c>
      <c r="F35" s="201" t="str">
        <f>IF(AND(B33=" ",B34=" ",B35=" ")," ",IF(B34=" ",SUM(F$12:F32),IF(B35=" "," ",F34-E35)))</f>
        <v xml:space="preserve"> </v>
      </c>
      <c r="G35" s="201" t="str">
        <f>IF(AND(B33=" ",B34=" ",B35=" ")," ",IF(B34=" ",SUM(G$12:G33),IF(B36=" ",IF(E$5*E$7=B35,C35-C$7+C$8+G$10," "),C35)))</f>
        <v xml:space="preserve"> </v>
      </c>
      <c r="H35" s="204" t="str">
        <f>IF(AND(B33=" ",B34=" ",B35=" ")," ",IF(B34=" ",SUM(H$13:H33)*E$7,IF(B35=" "," ",IF(B36=" ",IF(E$5*E$7=B35,IRR(G$12:G35,0.01)," ")," "))))</f>
        <v xml:space="preserve"> </v>
      </c>
      <c r="I35" s="202" t="str">
        <f t="shared" si="1"/>
        <v/>
      </c>
      <c r="J35" s="202" t="str">
        <f t="shared" si="2"/>
        <v/>
      </c>
      <c r="K35" s="53" t="s">
        <v>464</v>
      </c>
      <c r="L35" s="48">
        <f>IF((SUM(AJ11:AJ133)-L32-L29-L26-L23-L20-L17-L14-L11-L8-L5)&lt;0,0,SUM(AJ11:AJ133)/10000-L32-L29-L26-L23-L20-L17-L14-L11-L8-L5)</f>
        <v>2429.5780821917815</v>
      </c>
      <c r="M35" s="53" t="s">
        <v>465</v>
      </c>
      <c r="N35" s="48">
        <f>IF(L35=0,0,L35)</f>
        <v>2429.5780821917815</v>
      </c>
      <c r="O35" s="67"/>
      <c r="P35" s="67" t="str">
        <f>IF($A36="","",IF($A37="",IF(YEAR($A36)=2003,SUM($D$12:$D36),""),IF(AND(YEAR($A36)=2003,YEAR($A37)=2004),SUM($D$12:$D36,$D37*(P$8-$A36)/($A37-$A36)),"")))</f>
        <v/>
      </c>
      <c r="Q35" s="67" t="str">
        <f>IF(A36="","",IF(A37="",IF(YEAR(A36)=2004,SUM(D$12:D36),""),IF(AND(YEAR(A36)=2004,YEAR(A37)=2005),SUM(D$12:D36,D37*(Q$8-A36)/(A37-A36)),"")))</f>
        <v/>
      </c>
      <c r="R35" s="67" t="str">
        <f>IF(A36="","",IF(A37="",IF(YEAR(A36)=2005,SUM(D$12:D36),""),IF(AND(YEAR(A36)=2005,YEAR(A37)=2006),SUM(D$12:D36,D37*(R$8-A36)/(A37-A36)),"")))</f>
        <v/>
      </c>
      <c r="S35" s="67" t="str">
        <f>IF(A36="","",IF(A37="",IF(YEAR(A36)=2006,SUM(D$12:D36),""),IF(AND(YEAR(A36)=2006,YEAR(A37)=2007),SUM(D$12:D36,D37*(S$8-A36)/(A37-A36)),"")))</f>
        <v/>
      </c>
      <c r="T35" s="67" t="str">
        <f>IF(A36="","",IF(A37="",IF(YEAR(A36)=2007,SUM(D$12:D36),""),IF(AND(YEAR(A36)=2007,YEAR(A37)=2008),SUM(D$12:D36,D37*(T$8-A36)/(A37-A36)),"")))</f>
        <v/>
      </c>
      <c r="U35" s="67" t="str">
        <f>IF(A36="","",IF(A37="",IF(YEAR(A36)=2008,SUM(D$12:D36),""),IF(AND(YEAR(A36)=2008,YEAR(A37)=2009),SUM(D$12:D36,D37*(U$8-A36)/(A37-A36)),"")))</f>
        <v/>
      </c>
      <c r="V35" s="67" t="str">
        <f>IF(A36="","",IF(A37="",IF(YEAR(A36)=2009,SUM(D$12:D36),""),IF(AND(YEAR(A36)=2009,YEAR(A37)=2010),SUM(D$12:D36,D37*(V$8-A36)/(A37-A36)),"")))</f>
        <v/>
      </c>
      <c r="W35" s="67" t="str">
        <f>IF(A36="","",IF(A37="",IF(YEAR(A36)=2010,SUM(D$12:D36),""),IF(AND(YEAR(A36)=2010,YEAR(A37)=2011),SUM(D$12:D36,D37*(W$8-A36)/(A37-A36)),"")))</f>
        <v/>
      </c>
      <c r="X35" s="67" t="str">
        <f>IF(A36="","",IF(A37="",IF(YEAR(A36)=2011,SUM(D$12:D36),""),IF(AND(YEAR(A36)=2011,YEAR(A37)=2012),SUM(D$12:D36,D37*(X$8-A36)/(A37-A36)),"")))</f>
        <v/>
      </c>
      <c r="Y35" s="72" t="str">
        <f>IF(A36="","",IF(A37="",IF(YEAR(A36)=2012,SUM(D$12:D36),""),IF(AND(YEAR(A36)=2012,YEAR(A37)=2013),SUM(D$12:D36,D37*(Y$8-A36)/(A37-A36)),"")))</f>
        <v/>
      </c>
      <c r="Z35" s="67" t="str">
        <f>IF($A36="","",IF($A37="",IF(YEAR($A36)=2002,SUM($J$12:$J36),""),IF(AND(YEAR($A36)=2002,YEAR($A37)=2003),SUM($J$12:$J36,$J37*(O$8-$A36)/($A37-$A36)),"")))</f>
        <v/>
      </c>
      <c r="AA35" s="67" t="str">
        <f>IF($A36="","",IF($A37="",IF(YEAR($A36)=2003,SUM($J$12:$J36),""),IF(AND(YEAR($A36)=2003,YEAR($A37)=2004),SUM($J$12:$J36,$J37*(P$8-$A36)/($A37-$A36)),"")))</f>
        <v/>
      </c>
      <c r="AB35" s="67" t="str">
        <f>IF($A36="","",IF($A37="",IF(YEAR($A36)=2004,SUM($J$12:$J36),""),IF(AND(YEAR($A36)=2004,YEAR($A37)=2005),SUM($J$12:$J36,$J37*(Q$8-$A36)/($A37-$A36)),"")))</f>
        <v/>
      </c>
      <c r="AC35" s="67" t="str">
        <f>IF($A36="","",IF($A37="",IF(YEAR($A36)=2005,SUM($J$12:$J36),""),IF(AND(YEAR($A36)=2005,YEAR($A37)=2006),SUM($J$12:$J36,$J37*(R$8-$A36)/($A37-$A36)),"")))</f>
        <v/>
      </c>
      <c r="AD35" s="67" t="str">
        <f>IF($A36="","",IF($A37="",IF(YEAR($A36)=2006,SUM($J$12:$J36),""),IF(AND(YEAR($A36)=2006,YEAR($A37)=2007),SUM($J$12:$J36,$J37*(S$8-$A36)/($A37-$A36)),"")))</f>
        <v/>
      </c>
      <c r="AE35" s="67" t="str">
        <f>IF($A36="","",IF($A37="",IF(YEAR($A36)=2007,SUM($J$12:$J36),""),IF(AND(YEAR($A36)=2007,YEAR($A37)=2008),SUM($J$12:$J36,$J37*(T$8-$A36)/($A37-$A36)),"")))</f>
        <v/>
      </c>
      <c r="AF35" s="67" t="str">
        <f>IF($A36="","",IF($A37="",IF(YEAR($A36)=2008,SUM($J$12:$J36),""),IF(AND(YEAR($A36)=2008,YEAR($A37)=2009),SUM($J$12:$J36,$J37*(U$8-$A36)/($A37-$A36)),"")))</f>
        <v/>
      </c>
      <c r="AG35" s="67" t="str">
        <f>IF($A36="","",IF($A37="",IF(YEAR($A36)=2009,SUM($J$12:$J36),""),IF(AND(YEAR($A36)=2009,YEAR($A37)=2010),SUM($J$12:$J36,$J37*(V$8-$A36)/($A37-$A36)),"")))</f>
        <v/>
      </c>
      <c r="AH35" s="67" t="str">
        <f>IF($A36="","",IF($A37="",IF(YEAR($A36)=2010,SUM($J$12:$J36),""),IF(AND(YEAR($A36)=2010,YEAR($A37)=2011),SUM($J$12:$J36,$J37*(W$8-$A36)/($A37-$A36)),"")))</f>
        <v/>
      </c>
      <c r="AI35" s="67" t="str">
        <f>IF($A36="","",IF($A37="",IF(YEAR($A36)=2011,SUM($J$12:$J36),""),IF(AND(YEAR($A36)=2011,YEAR($A37)=2012),SUM($J$12:$J36,$J37*(X$8-$A36)/($A37-$A36)),"")))</f>
        <v/>
      </c>
      <c r="AJ35" s="67" t="str">
        <f>IF($A36="","",IF($A37="",IF(YEAR($A36)=2012,SUM($J$12:$J36),""),IF(AND(YEAR($A36)=2012,YEAR($A37)=2013),SUM($J$12:$J36,$J37*(Y$8-$A36)/($A37-$A36)),"")))</f>
        <v/>
      </c>
    </row>
    <row r="36" spans="1:36" x14ac:dyDescent="0.2">
      <c r="A36" s="309" t="str">
        <f t="shared" si="0"/>
        <v/>
      </c>
      <c r="B36" s="203" t="str">
        <f>IF($E$5*$E$7&lt;24," ",24)</f>
        <v xml:space="preserve"> </v>
      </c>
      <c r="C36" s="201" t="str">
        <f>IF(AND(B34=" ",B35=" ",B36=" ")," ",IF(B35=" ",SUM(C$13:C34),IF(B36=" "," ",D36+E36)))</f>
        <v xml:space="preserve"> </v>
      </c>
      <c r="D36" s="201" t="str">
        <f>IF(AND(B34=" ",B35=" ",B36=" ")," ",IF(B35=" ",SUM(D$13:D34),IF(B36=" "," ",ROUND(F35*E$6/E$7,2))))</f>
        <v xml:space="preserve"> </v>
      </c>
      <c r="E36" s="201" t="str">
        <f>IF(AND(B34=" ",B35=" ",B36=" ")," ",IF(B35=" ",SUM(E$13:E34),IF(B36=" "," ",E$8)))</f>
        <v xml:space="preserve"> </v>
      </c>
      <c r="F36" s="201" t="str">
        <f>IF(AND(B34=" ",B35=" ",B36=" ")," ",IF(B35=" ",SUM(F$12:F33),IF(B36=" "," ",F35-E36)))</f>
        <v xml:space="preserve"> </v>
      </c>
      <c r="G36" s="201" t="str">
        <f>IF(AND(B34=" ",B35=" ",B36=" ")," ",IF(B35=" ",SUM(G$12:G34),IF(B37=" ",IF(E$5*E$7=B36,C36-C$7+C$8+G$10," "),C36)))</f>
        <v xml:space="preserve"> </v>
      </c>
      <c r="H36" s="204" t="str">
        <f>IF(AND(B34=" ",B35=" ",B36=" ")," ",IF(B35=" ",SUM(H$13:H34)*E$7,IF(B36=" "," ",IF(B37=" ",IF(E$5*E$7=B36,IRR(G$12:G36,0.01)," ")," "))))</f>
        <v xml:space="preserve"> </v>
      </c>
      <c r="I36" s="202" t="str">
        <f t="shared" si="1"/>
        <v/>
      </c>
      <c r="J36" s="202" t="str">
        <f t="shared" si="2"/>
        <v/>
      </c>
      <c r="K36" s="55"/>
      <c r="L36" s="50">
        <f>IF(L35=0,0,L34/L35)</f>
        <v>7.6750393366630115E-2</v>
      </c>
      <c r="M36" s="47"/>
      <c r="N36" s="50">
        <f>IF(N35=0,0,N34/N35)</f>
        <v>7.6750393366630115E-2</v>
      </c>
      <c r="O36" s="67"/>
      <c r="P36" s="67" t="str">
        <f>IF($A37="","",IF($A38="",IF(YEAR($A37)=2003,SUM($D$12:$D37),""),IF(AND(YEAR($A37)=2003,YEAR($A38)=2004),SUM($D$12:$D37,$D38*(P$8-$A37)/($A38-$A37)),"")))</f>
        <v/>
      </c>
      <c r="Q36" s="67" t="str">
        <f>IF(A37="","",IF(A38="",IF(YEAR(A37)=2004,SUM(D$12:D37),""),IF(AND(YEAR(A37)=2004,YEAR(A38)=2005),SUM(D$12:D37,D38*(Q$8-A37)/(A38-A37)),"")))</f>
        <v/>
      </c>
      <c r="R36" s="67" t="str">
        <f>IF(A37="","",IF(A38="",IF(YEAR(A37)=2005,SUM(D$12:D37),""),IF(AND(YEAR(A37)=2005,YEAR(A38)=2006),SUM(D$12:D37,D38*(R$8-A37)/(A38-A37)),"")))</f>
        <v/>
      </c>
      <c r="S36" s="67" t="str">
        <f>IF(A37="","",IF(A38="",IF(YEAR(A37)=2006,SUM(D$12:D37),""),IF(AND(YEAR(A37)=2006,YEAR(A38)=2007),SUM(D$12:D37,D38*(S$8-A37)/(A38-A37)),"")))</f>
        <v/>
      </c>
      <c r="T36" s="67" t="str">
        <f>IF(A37="","",IF(A38="",IF(YEAR(A37)=2007,SUM(D$12:D37),""),IF(AND(YEAR(A37)=2007,YEAR(A38)=2008),SUM(D$12:D37,D38*(T$8-A37)/(A38-A37)),"")))</f>
        <v/>
      </c>
      <c r="U36" s="67" t="str">
        <f>IF(A37="","",IF(A38="",IF(YEAR(A37)=2008,SUM(D$12:D37),""),IF(AND(YEAR(A37)=2008,YEAR(A38)=2009),SUM(D$12:D37,D38*(U$8-A37)/(A38-A37)),"")))</f>
        <v/>
      </c>
      <c r="V36" s="67" t="str">
        <f>IF(A37="","",IF(A38="",IF(YEAR(A37)=2009,SUM(D$12:D37),""),IF(AND(YEAR(A37)=2009,YEAR(A38)=2010),SUM(D$12:D37,D38*(V$8-A37)/(A38-A37)),"")))</f>
        <v/>
      </c>
      <c r="W36" s="67" t="str">
        <f>IF(A37="","",IF(A38="",IF(YEAR(A37)=2010,SUM(D$12:D37),""),IF(AND(YEAR(A37)=2010,YEAR(A38)=2011),SUM(D$12:D37,D38*(W$8-A37)/(A38-A37)),"")))</f>
        <v/>
      </c>
      <c r="X36" s="67" t="str">
        <f>IF(A37="","",IF(A38="",IF(YEAR(A37)=2011,SUM(D$12:D37),""),IF(AND(YEAR(A37)=2011,YEAR(A38)=2012),SUM(D$12:D37,D38*(X$8-A37)/(A38-A37)),"")))</f>
        <v/>
      </c>
      <c r="Y36" s="72" t="str">
        <f>IF(A37="","",IF(A38="",IF(YEAR(A37)=2012,SUM(D$12:D37),""),IF(AND(YEAR(A37)=2012,YEAR(A38)=2013),SUM(D$12:D37,D38*(Y$8-A37)/(A38-A37)),"")))</f>
        <v/>
      </c>
      <c r="Z36" s="67" t="str">
        <f>IF($A37="","",IF($A38="",IF(YEAR($A37)=2002,SUM($J$12:$J37),""),IF(AND(YEAR($A37)=2002,YEAR($A38)=2003),SUM($J$12:$J37,$J38*(O$8-$A37)/($A38-$A37)),"")))</f>
        <v/>
      </c>
      <c r="AA36" s="67" t="str">
        <f>IF($A37="","",IF($A38="",IF(YEAR($A37)=2003,SUM($J$12:$J37),""),IF(AND(YEAR($A37)=2003,YEAR($A38)=2004),SUM($J$12:$J37,$J38*(P$8-$A37)/($A38-$A37)),"")))</f>
        <v/>
      </c>
      <c r="AB36" s="67" t="str">
        <f>IF($A37="","",IF($A38="",IF(YEAR($A37)=2004,SUM($J$12:$J37),""),IF(AND(YEAR($A37)=2004,YEAR($A38)=2005),SUM($J$12:$J37,$J38*(Q$8-$A37)/($A38-$A37)),"")))</f>
        <v/>
      </c>
      <c r="AC36" s="67" t="str">
        <f>IF($A37="","",IF($A38="",IF(YEAR($A37)=2005,SUM($J$12:$J37),""),IF(AND(YEAR($A37)=2005,YEAR($A38)=2006),SUM($J$12:$J37,$J38*(R$8-$A37)/($A38-$A37)),"")))</f>
        <v/>
      </c>
      <c r="AD36" s="67" t="str">
        <f>IF($A37="","",IF($A38="",IF(YEAR($A37)=2006,SUM($J$12:$J37),""),IF(AND(YEAR($A37)=2006,YEAR($A38)=2007),SUM($J$12:$J37,$J38*(S$8-$A37)/($A38-$A37)),"")))</f>
        <v/>
      </c>
      <c r="AE36" s="67" t="str">
        <f>IF($A37="","",IF($A38="",IF(YEAR($A37)=2007,SUM($J$12:$J37),""),IF(AND(YEAR($A37)=2007,YEAR($A38)=2008),SUM($J$12:$J37,$J38*(T$8-$A37)/($A38-$A37)),"")))</f>
        <v/>
      </c>
      <c r="AF36" s="67" t="str">
        <f>IF($A37="","",IF($A38="",IF(YEAR($A37)=2008,SUM($J$12:$J37),""),IF(AND(YEAR($A37)=2008,YEAR($A38)=2009),SUM($J$12:$J37,$J38*(U$8-$A37)/($A38-$A37)),"")))</f>
        <v/>
      </c>
      <c r="AG36" s="67" t="str">
        <f>IF($A37="","",IF($A38="",IF(YEAR($A37)=2009,SUM($J$12:$J37),""),IF(AND(YEAR($A37)=2009,YEAR($A38)=2010),SUM($J$12:$J37,$J38*(V$8-$A37)/($A38-$A37)),"")))</f>
        <v/>
      </c>
      <c r="AH36" s="67" t="str">
        <f>IF($A37="","",IF($A38="",IF(YEAR($A37)=2010,SUM($J$12:$J37),""),IF(AND(YEAR($A37)=2010,YEAR($A38)=2011),SUM($J$12:$J37,$J38*(W$8-$A37)/($A38-$A37)),"")))</f>
        <v/>
      </c>
      <c r="AI36" s="67" t="str">
        <f>IF($A37="","",IF($A38="",IF(YEAR($A37)=2011,SUM($J$12:$J37),""),IF(AND(YEAR($A37)=2011,YEAR($A38)=2012),SUM($J$12:$J37,$J38*(X$8-$A37)/($A38-$A37)),"")))</f>
        <v/>
      </c>
      <c r="AJ36" s="67" t="str">
        <f>IF($A37="","",IF($A38="",IF(YEAR($A37)=2012,SUM($J$12:$J37),""),IF(AND(YEAR($A37)=2012,YEAR($A38)=2013),SUM($J$12:$J37,$J38*(Y$8-$A37)/($A38-$A37)),"")))</f>
        <v/>
      </c>
    </row>
    <row r="37" spans="1:36" x14ac:dyDescent="0.2">
      <c r="A37" s="309" t="str">
        <f t="shared" si="0"/>
        <v/>
      </c>
      <c r="B37" s="203" t="str">
        <f>IF($E$5*$E$7&lt;25," ",25)</f>
        <v xml:space="preserve"> </v>
      </c>
      <c r="C37" s="201" t="str">
        <f>IF(AND(B35=" ",B36=" ",B37=" ")," ",IF(B36=" ",SUM(C$13:C35),IF(B37=" "," ",D37+E37)))</f>
        <v xml:space="preserve"> </v>
      </c>
      <c r="D37" s="201" t="str">
        <f>IF(AND(B35=" ",B36=" ",B37=" ")," ",IF(B36=" ",SUM(D$13:D35),IF(B37=" "," ",ROUND(F36*E$6/E$7,2))))</f>
        <v xml:space="preserve"> </v>
      </c>
      <c r="E37" s="201" t="str">
        <f>IF(AND(B35=" ",B36=" ",B37=" ")," ",IF(B36=" ",SUM(E$13:E35),IF(B37=" "," ",E$8)))</f>
        <v xml:space="preserve"> </v>
      </c>
      <c r="F37" s="201" t="str">
        <f>IF(AND(B35=" ",B36=" ",B37=" ")," ",IF(B36=" ",SUM(F$12:F34),IF(B37=" "," ",F36-E37)))</f>
        <v xml:space="preserve"> </v>
      </c>
      <c r="G37" s="201" t="str">
        <f>IF(AND(B35=" ",B36=" ",B37=" ")," ",IF(B36=" ",SUM(G$12:G35),IF(B38=" ",IF(E$5*E$7=B37,C37-C$7+C$8+G$10," "),C37)))</f>
        <v xml:space="preserve"> </v>
      </c>
      <c r="H37" s="204" t="str">
        <f>IF(AND(B35=" ",B36=" ",B37=" ")," ",IF(B36=" ",SUM(H$13:H35)*E$7,IF(B37=" "," ",IF(B38=" ",IF(E$5*E$7=B37,IRR(G$12:G37,0.01)," ")," "))))</f>
        <v xml:space="preserve"> </v>
      </c>
      <c r="I37" s="202" t="str">
        <f t="shared" si="1"/>
        <v/>
      </c>
      <c r="J37" s="202" t="str">
        <f t="shared" si="2"/>
        <v/>
      </c>
      <c r="K37" s="55"/>
      <c r="L37" s="56"/>
      <c r="O37" s="67"/>
      <c r="P37" s="67" t="str">
        <f>IF($A38="","",IF($A39="",IF(YEAR($A38)=2003,SUM($D$12:$D38),""),IF(AND(YEAR($A38)=2003,YEAR($A39)=2004),SUM($D$12:$D38,$D39*(P$8-$A38)/($A39-$A38)),"")))</f>
        <v/>
      </c>
      <c r="Q37" s="67" t="str">
        <f>IF(A38="","",IF(A39="",IF(YEAR(A38)=2004,SUM(D$12:D38),""),IF(AND(YEAR(A38)=2004,YEAR(A39)=2005),SUM(D$12:D38,D39*(Q$8-A38)/(A39-A38)),"")))</f>
        <v/>
      </c>
      <c r="R37" s="67" t="str">
        <f>IF(A38="","",IF(A39="",IF(YEAR(A38)=2005,SUM(D$12:D38),""),IF(AND(YEAR(A38)=2005,YEAR(A39)=2006),SUM(D$12:D38,D39*(R$8-A38)/(A39-A38)),"")))</f>
        <v/>
      </c>
      <c r="S37" s="67" t="str">
        <f>IF(A38="","",IF(A39="",IF(YEAR(A38)=2006,SUM(D$12:D38),""),IF(AND(YEAR(A38)=2006,YEAR(A39)=2007),SUM(D$12:D38,D39*(S$8-A38)/(A39-A38)),"")))</f>
        <v/>
      </c>
      <c r="T37" s="67" t="str">
        <f>IF(A38="","",IF(A39="",IF(YEAR(A38)=2007,SUM(D$12:D38),""),IF(AND(YEAR(A38)=2007,YEAR(A39)=2008),SUM(D$12:D38,D39*(T$8-A38)/(A39-A38)),"")))</f>
        <v/>
      </c>
      <c r="U37" s="67" t="str">
        <f>IF(A38="","",IF(A39="",IF(YEAR(A38)=2008,SUM(D$12:D38),""),IF(AND(YEAR(A38)=2008,YEAR(A39)=2009),SUM(D$12:D38,D39*(U$8-A38)/(A39-A38)),"")))</f>
        <v/>
      </c>
      <c r="V37" s="67" t="str">
        <f>IF(A38="","",IF(A39="",IF(YEAR(A38)=2009,SUM(D$12:D38),""),IF(AND(YEAR(A38)=2009,YEAR(A39)=2010),SUM(D$12:D38,D39*(V$8-A38)/(A39-A38)),"")))</f>
        <v/>
      </c>
      <c r="W37" s="67" t="str">
        <f>IF(A38="","",IF(A39="",IF(YEAR(A38)=2010,SUM(D$12:D38),""),IF(AND(YEAR(A38)=2010,YEAR(A39)=2011),SUM(D$12:D38,D39*(W$8-A38)/(A39-A38)),"")))</f>
        <v/>
      </c>
      <c r="X37" s="67" t="str">
        <f>IF(A38="","",IF(A39="",IF(YEAR(A38)=2011,SUM(D$12:D38),""),IF(AND(YEAR(A38)=2011,YEAR(A39)=2012),SUM(D$12:D38,D39*(X$8-A38)/(A39-A38)),"")))</f>
        <v/>
      </c>
      <c r="Y37" s="72" t="str">
        <f>IF(A38="","",IF(A39="",IF(YEAR(A38)=2012,SUM(D$12:D38),""),IF(AND(YEAR(A38)=2012,YEAR(A39)=2013),SUM(D$12:D38,D39*(Y$8-A38)/(A39-A38)),"")))</f>
        <v/>
      </c>
      <c r="Z37" s="67" t="str">
        <f>IF($A38="","",IF($A39="",IF(YEAR($A38)=2002,SUM($J$12:$J38),""),IF(AND(YEAR($A38)=2002,YEAR($A39)=2003),SUM($J$12:$J38,$J39*(O$8-$A38)/($A39-$A38)),"")))</f>
        <v/>
      </c>
      <c r="AA37" s="67" t="str">
        <f>IF($A38="","",IF($A39="",IF(YEAR($A38)=2003,SUM($J$12:$J38),""),IF(AND(YEAR($A38)=2003,YEAR($A39)=2004),SUM($J$12:$J38,$J39*(P$8-$A38)/($A39-$A38)),"")))</f>
        <v/>
      </c>
      <c r="AB37" s="67" t="str">
        <f>IF($A38="","",IF($A39="",IF(YEAR($A38)=2004,SUM($J$12:$J38),""),IF(AND(YEAR($A38)=2004,YEAR($A39)=2005),SUM($J$12:$J38,$J39*(Q$8-$A38)/($A39-$A38)),"")))</f>
        <v/>
      </c>
      <c r="AC37" s="67" t="str">
        <f>IF($A38="","",IF($A39="",IF(YEAR($A38)=2005,SUM($J$12:$J38),""),IF(AND(YEAR($A38)=2005,YEAR($A39)=2006),SUM($J$12:$J38,$J39*(R$8-$A38)/($A39-$A38)),"")))</f>
        <v/>
      </c>
      <c r="AD37" s="67" t="str">
        <f>IF($A38="","",IF($A39="",IF(YEAR($A38)=2006,SUM($J$12:$J38),""),IF(AND(YEAR($A38)=2006,YEAR($A39)=2007),SUM($J$12:$J38,$J39*(S$8-$A38)/($A39-$A38)),"")))</f>
        <v/>
      </c>
      <c r="AE37" s="67" t="str">
        <f>IF($A38="","",IF($A39="",IF(YEAR($A38)=2007,SUM($J$12:$J38),""),IF(AND(YEAR($A38)=2007,YEAR($A39)=2008),SUM($J$12:$J38,$J39*(T$8-$A38)/($A39-$A38)),"")))</f>
        <v/>
      </c>
      <c r="AF37" s="67" t="str">
        <f>IF($A38="","",IF($A39="",IF(YEAR($A38)=2008,SUM($J$12:$J38),""),IF(AND(YEAR($A38)=2008,YEAR($A39)=2009),SUM($J$12:$J38,$J39*(U$8-$A38)/($A39-$A38)),"")))</f>
        <v/>
      </c>
      <c r="AG37" s="67" t="str">
        <f>IF($A38="","",IF($A39="",IF(YEAR($A38)=2009,SUM($J$12:$J38),""),IF(AND(YEAR($A38)=2009,YEAR($A39)=2010),SUM($J$12:$J38,$J39*(V$8-$A38)/($A39-$A38)),"")))</f>
        <v/>
      </c>
      <c r="AH37" s="67" t="str">
        <f>IF($A38="","",IF($A39="",IF(YEAR($A38)=2010,SUM($J$12:$J38),""),IF(AND(YEAR($A38)=2010,YEAR($A39)=2011),SUM($J$12:$J38,$J39*(W$8-$A38)/($A39-$A38)),"")))</f>
        <v/>
      </c>
      <c r="AI37" s="67" t="str">
        <f>IF($A38="","",IF($A39="",IF(YEAR($A38)=2011,SUM($J$12:$J38),""),IF(AND(YEAR($A38)=2011,YEAR($A39)=2012),SUM($J$12:$J38,$J39*(X$8-$A38)/($A39-$A38)),"")))</f>
        <v/>
      </c>
      <c r="AJ37" s="67" t="str">
        <f>IF($A38="","",IF($A39="",IF(YEAR($A38)=2012,SUM($J$12:$J38),""),IF(AND(YEAR($A38)=2012,YEAR($A39)=2013),SUM($J$12:$J38,$J39*(Y$8-$A38)/($A39-$A38)),"")))</f>
        <v/>
      </c>
    </row>
    <row r="38" spans="1:36" x14ac:dyDescent="0.2">
      <c r="A38" s="309" t="str">
        <f t="shared" si="0"/>
        <v/>
      </c>
      <c r="B38" s="203" t="str">
        <f>IF($E$5*$E$7&lt;26," ",26)</f>
        <v xml:space="preserve"> </v>
      </c>
      <c r="C38" s="201" t="str">
        <f>IF(AND(B36=" ",B37=" ",B38=" ")," ",IF(B37=" ",SUM(C$13:C36),IF(B38=" "," ",D38+E38)))</f>
        <v xml:space="preserve"> </v>
      </c>
      <c r="D38" s="201" t="str">
        <f>IF(AND(B36=" ",B37=" ",B38=" ")," ",IF(B37=" ",SUM(D$13:D36),IF(B38=" "," ",ROUND(F37*E$6/E$7,2))))</f>
        <v xml:space="preserve"> </v>
      </c>
      <c r="E38" s="201" t="str">
        <f>IF(AND(B36=" ",B37=" ",B38=" ")," ",IF(B37=" ",SUM(E$13:E36),IF(B38=" "," ",E$8)))</f>
        <v xml:space="preserve"> </v>
      </c>
      <c r="F38" s="201" t="str">
        <f>IF(AND(B36=" ",B37=" ",B38=" ")," ",IF(B37=" ",SUM(F$12:F35),IF(B38=" "," ",F37-E38)))</f>
        <v xml:space="preserve"> </v>
      </c>
      <c r="G38" s="201" t="str">
        <f>IF(AND(B36=" ",B37=" ",B38=" ")," ",IF(B37=" ",SUM(G$12:G36),IF(B39=" ",IF(E$5*E$7=B38,C38-C$7+C$8+G$10," "),C38)))</f>
        <v xml:space="preserve"> </v>
      </c>
      <c r="H38" s="204" t="str">
        <f>IF(AND(B36=" ",B37=" ",B38=" ")," ",IF(B37=" ",SUM(H$13:H36)*E$7,IF(B38=" "," ",IF(B39=" ",IF(E$5*E$7=B38,IRR(G$12:G38,0.01)," ")," "))))</f>
        <v xml:space="preserve"> </v>
      </c>
      <c r="I38" s="202" t="str">
        <f t="shared" si="1"/>
        <v/>
      </c>
      <c r="J38" s="202" t="str">
        <f t="shared" si="2"/>
        <v/>
      </c>
      <c r="K38" s="55"/>
      <c r="L38" s="56"/>
      <c r="O38" s="67"/>
      <c r="P38" s="67" t="str">
        <f>IF($A39="","",IF($A40="",IF(YEAR($A39)=2003,SUM($D$12:$D39),""),IF(AND(YEAR($A39)=2003,YEAR($A40)=2004),SUM($D$12:$D39,$D40*(P$8-$A39)/($A40-$A39)),"")))</f>
        <v/>
      </c>
      <c r="Q38" s="67" t="str">
        <f>IF(A39="","",IF(A40="",IF(YEAR(A39)=2004,SUM(D$12:D39),""),IF(AND(YEAR(A39)=2004,YEAR(A40)=2005),SUM(D$12:D39,D40*(Q$8-A39)/(A40-A39)),"")))</f>
        <v/>
      </c>
      <c r="R38" s="67" t="str">
        <f>IF(A39="","",IF(A40="",IF(YEAR(A39)=2005,SUM(D$12:D39),""),IF(AND(YEAR(A39)=2005,YEAR(A40)=2006),SUM(D$12:D39,D40*(R$8-A39)/(A40-A39)),"")))</f>
        <v/>
      </c>
      <c r="S38" s="67" t="str">
        <f>IF(A39="","",IF(A40="",IF(YEAR(A39)=2006,SUM(D$12:D39),""),IF(AND(YEAR(A39)=2006,YEAR(A40)=2007),SUM(D$12:D39,D40*(S$8-A39)/(A40-A39)),"")))</f>
        <v/>
      </c>
      <c r="T38" s="67" t="str">
        <f>IF(A39="","",IF(A40="",IF(YEAR(A39)=2007,SUM(D$12:D39),""),IF(AND(YEAR(A39)=2007,YEAR(A40)=2008),SUM(D$12:D39,D40*(T$8-A39)/(A40-A39)),"")))</f>
        <v/>
      </c>
      <c r="U38" s="67" t="str">
        <f>IF(A39="","",IF(A40="",IF(YEAR(A39)=2008,SUM(D$12:D39),""),IF(AND(YEAR(A39)=2008,YEAR(A40)=2009),SUM(D$12:D39,D40*(U$8-A39)/(A40-A39)),"")))</f>
        <v/>
      </c>
      <c r="V38" s="67" t="str">
        <f>IF(A39="","",IF(A40="",IF(YEAR(A39)=2009,SUM(D$12:D39),""),IF(AND(YEAR(A39)=2009,YEAR(A40)=2010),SUM(D$12:D39,D40*(V$8-A39)/(A40-A39)),"")))</f>
        <v/>
      </c>
      <c r="W38" s="67" t="str">
        <f>IF(A39="","",IF(A40="",IF(YEAR(A39)=2010,SUM(D$12:D39),""),IF(AND(YEAR(A39)=2010,YEAR(A40)=2011),SUM(D$12:D39,D40*(W$8-A39)/(A40-A39)),"")))</f>
        <v/>
      </c>
      <c r="X38" s="67" t="str">
        <f>IF(A39="","",IF(A40="",IF(YEAR(A39)=2011,SUM(D$12:D39),""),IF(AND(YEAR(A39)=2011,YEAR(A40)=2012),SUM(D$12:D39,D40*(X$8-A39)/(A40-A39)),"")))</f>
        <v/>
      </c>
      <c r="Y38" s="72" t="str">
        <f>IF(A39="","",IF(A40="",IF(YEAR(A39)=2012,SUM(D$12:D39),""),IF(AND(YEAR(A39)=2012,YEAR(A40)=2013),SUM(D$12:D39,D40*(Y$8-A39)/(A40-A39)),"")))</f>
        <v/>
      </c>
      <c r="Z38" s="67" t="str">
        <f>IF($A39="","",IF($A40="",IF(YEAR($A39)=2002,SUM($J$12:$J39),""),IF(AND(YEAR($A39)=2002,YEAR($A40)=2003),SUM($J$12:$J39,$J40*(O$8-$A39)/($A40-$A39)),"")))</f>
        <v/>
      </c>
      <c r="AA38" s="67" t="str">
        <f>IF($A39="","",IF($A40="",IF(YEAR($A39)=2003,SUM($J$12:$J39),""),IF(AND(YEAR($A39)=2003,YEAR($A40)=2004),SUM($J$12:$J39,$J40*(P$8-$A39)/($A40-$A39)),"")))</f>
        <v/>
      </c>
      <c r="AB38" s="67" t="str">
        <f>IF($A39="","",IF($A40="",IF(YEAR($A39)=2004,SUM($J$12:$J39),""),IF(AND(YEAR($A39)=2004,YEAR($A40)=2005),SUM($J$12:$J39,$J40*(Q$8-$A39)/($A40-$A39)),"")))</f>
        <v/>
      </c>
      <c r="AC38" s="67" t="str">
        <f>IF($A39="","",IF($A40="",IF(YEAR($A39)=2005,SUM($J$12:$J39),""),IF(AND(YEAR($A39)=2005,YEAR($A40)=2006),SUM($J$12:$J39,$J40*(R$8-$A39)/($A40-$A39)),"")))</f>
        <v/>
      </c>
      <c r="AD38" s="67" t="str">
        <f>IF($A39="","",IF($A40="",IF(YEAR($A39)=2006,SUM($J$12:$J39),""),IF(AND(YEAR($A39)=2006,YEAR($A40)=2007),SUM($J$12:$J39,$J40*(S$8-$A39)/($A40-$A39)),"")))</f>
        <v/>
      </c>
      <c r="AE38" s="67" t="str">
        <f>IF($A39="","",IF($A40="",IF(YEAR($A39)=2007,SUM($J$12:$J39),""),IF(AND(YEAR($A39)=2007,YEAR($A40)=2008),SUM($J$12:$J39,$J40*(T$8-$A39)/($A40-$A39)),"")))</f>
        <v/>
      </c>
      <c r="AF38" s="67" t="str">
        <f>IF($A39="","",IF($A40="",IF(YEAR($A39)=2008,SUM($J$12:$J39),""),IF(AND(YEAR($A39)=2008,YEAR($A40)=2009),SUM($J$12:$J39,$J40*(U$8-$A39)/($A40-$A39)),"")))</f>
        <v/>
      </c>
      <c r="AG38" s="67" t="str">
        <f>IF($A39="","",IF($A40="",IF(YEAR($A39)=2009,SUM($J$12:$J39),""),IF(AND(YEAR($A39)=2009,YEAR($A40)=2010),SUM($J$12:$J39,$J40*(V$8-$A39)/($A40-$A39)),"")))</f>
        <v/>
      </c>
      <c r="AH38" s="67" t="str">
        <f>IF($A39="","",IF($A40="",IF(YEAR($A39)=2010,SUM($J$12:$J39),""),IF(AND(YEAR($A39)=2010,YEAR($A40)=2011),SUM($J$12:$J39,$J40*(W$8-$A39)/($A40-$A39)),"")))</f>
        <v/>
      </c>
      <c r="AI38" s="67" t="str">
        <f>IF($A39="","",IF($A40="",IF(YEAR($A39)=2011,SUM($J$12:$J39),""),IF(AND(YEAR($A39)=2011,YEAR($A40)=2012),SUM($J$12:$J39,$J40*(X$8-$A39)/($A40-$A39)),"")))</f>
        <v/>
      </c>
      <c r="AJ38" s="67" t="str">
        <f>IF($A39="","",IF($A40="",IF(YEAR($A39)=2012,SUM($J$12:$J39),""),IF(AND(YEAR($A39)=2012,YEAR($A40)=2013),SUM($J$12:$J39,$J40*(Y$8-$A39)/($A40-$A39)),"")))</f>
        <v/>
      </c>
    </row>
    <row r="39" spans="1:36" x14ac:dyDescent="0.2">
      <c r="A39" s="309" t="str">
        <f t="shared" si="0"/>
        <v/>
      </c>
      <c r="B39" s="203" t="str">
        <f>IF($E$5*$E$7&lt;27," ",27)</f>
        <v xml:space="preserve"> </v>
      </c>
      <c r="C39" s="201" t="str">
        <f>IF(AND(B37=" ",B38=" ",B39=" ")," ",IF(B38=" ",SUM(C$13:C37),IF(B39=" "," ",D39+E39)))</f>
        <v xml:space="preserve"> </v>
      </c>
      <c r="D39" s="201" t="str">
        <f>IF(AND(B37=" ",B38=" ",B39=" ")," ",IF(B38=" ",SUM(D$13:D37),IF(B39=" "," ",ROUND(F38*E$6/E$7,2))))</f>
        <v xml:space="preserve"> </v>
      </c>
      <c r="E39" s="201" t="str">
        <f>IF(AND(B37=" ",B38=" ",B39=" ")," ",IF(B38=" ",SUM(E$13:E37),IF(B39=" "," ",E$8)))</f>
        <v xml:space="preserve"> </v>
      </c>
      <c r="F39" s="201" t="str">
        <f>IF(AND(B37=" ",B38=" ",B39=" ")," ",IF(B38=" ",SUM(F$12:F36),IF(B39=" "," ",F38-E39)))</f>
        <v xml:space="preserve"> </v>
      </c>
      <c r="G39" s="201" t="str">
        <f>IF(AND(B37=" ",B38=" ",B39=" ")," ",IF(B38=" ",SUM(G$12:G37),IF(B40=" ",IF(E$5*E$7=B39,C39-C$7+C$8+G$10," "),C39)))</f>
        <v xml:space="preserve"> </v>
      </c>
      <c r="H39" s="204" t="str">
        <f>IF(AND(B37=" ",B38=" ",B39=" ")," ",IF(B38=" ",SUM(H$13:H37)*E$7,IF(B39=" "," ",IF(B40=" ",IF(E$5*E$7=B39,IRR(G$12:G39,0.01)," ")," "))))</f>
        <v xml:space="preserve"> </v>
      </c>
      <c r="I39" s="202" t="str">
        <f t="shared" si="1"/>
        <v/>
      </c>
      <c r="J39" s="202" t="str">
        <f t="shared" si="2"/>
        <v/>
      </c>
      <c r="K39" s="55"/>
      <c r="L39" s="56"/>
      <c r="O39" s="67"/>
      <c r="P39" s="67" t="str">
        <f>IF($A40="","",IF($A41="",IF(YEAR($A40)=2003,SUM($D$12:$D40),""),IF(AND(YEAR($A40)=2003,YEAR($A41)=2004),SUM($D$12:$D40,$D41*(P$8-$A40)/($A41-$A40)),"")))</f>
        <v/>
      </c>
      <c r="Q39" s="67" t="str">
        <f>IF(A40="","",IF(A41="",IF(YEAR(A40)=2004,SUM(D$12:D40),""),IF(AND(YEAR(A40)=2004,YEAR(A41)=2005),SUM(D$12:D40,D41*(Q$8-A40)/(A41-A40)),"")))</f>
        <v/>
      </c>
      <c r="R39" s="67" t="str">
        <f>IF(A40="","",IF(A41="",IF(YEAR(A40)=2005,SUM(D$12:D40),""),IF(AND(YEAR(A40)=2005,YEAR(A41)=2006),SUM(D$12:D40,D41*(R$8-A40)/(A41-A40)),"")))</f>
        <v/>
      </c>
      <c r="S39" s="67" t="str">
        <f>IF(A40="","",IF(A41="",IF(YEAR(A40)=2006,SUM(D$12:D40),""),IF(AND(YEAR(A40)=2006,YEAR(A41)=2007),SUM(D$12:D40,D41*(S$8-A40)/(A41-A40)),"")))</f>
        <v/>
      </c>
      <c r="T39" s="67" t="str">
        <f>IF(A40="","",IF(A41="",IF(YEAR(A40)=2007,SUM(D$12:D40),""),IF(AND(YEAR(A40)=2007,YEAR(A41)=2008),SUM(D$12:D40,D41*(T$8-A40)/(A41-A40)),"")))</f>
        <v/>
      </c>
      <c r="U39" s="67" t="str">
        <f>IF(A40="","",IF(A41="",IF(YEAR(A40)=2008,SUM(D$12:D40),""),IF(AND(YEAR(A40)=2008,YEAR(A41)=2009),SUM(D$12:D40,D41*(U$8-A40)/(A41-A40)),"")))</f>
        <v/>
      </c>
      <c r="V39" s="67" t="str">
        <f>IF(A40="","",IF(A41="",IF(YEAR(A40)=2009,SUM(D$12:D40),""),IF(AND(YEAR(A40)=2009,YEAR(A41)=2010),SUM(D$12:D40,D41*(V$8-A40)/(A41-A40)),"")))</f>
        <v/>
      </c>
      <c r="W39" s="67" t="str">
        <f>IF(A40="","",IF(A41="",IF(YEAR(A40)=2010,SUM(D$12:D40),""),IF(AND(YEAR(A40)=2010,YEAR(A41)=2011),SUM(D$12:D40,D41*(W$8-A40)/(A41-A40)),"")))</f>
        <v/>
      </c>
      <c r="X39" s="67" t="str">
        <f>IF(A40="","",IF(A41="",IF(YEAR(A40)=2011,SUM(D$12:D40),""),IF(AND(YEAR(A40)=2011,YEAR(A41)=2012),SUM(D$12:D40,D41*(X$8-A40)/(A41-A40)),"")))</f>
        <v/>
      </c>
      <c r="Y39" s="72" t="str">
        <f>IF(A40="","",IF(A41="",IF(YEAR(A40)=2012,SUM(D$12:D40),""),IF(AND(YEAR(A40)=2012,YEAR(A41)=2013),SUM(D$12:D40,D41*(Y$8-A40)/(A41-A40)),"")))</f>
        <v/>
      </c>
      <c r="Z39" s="67" t="str">
        <f>IF($A40="","",IF($A41="",IF(YEAR($A40)=2002,SUM($J$12:$J40),""),IF(AND(YEAR($A40)=2002,YEAR($A41)=2003),SUM($J$12:$J40,$J41*(O$8-$A40)/($A41-$A40)),"")))</f>
        <v/>
      </c>
      <c r="AA39" s="67" t="str">
        <f>IF($A40="","",IF($A41="",IF(YEAR($A40)=2003,SUM($J$12:$J40),""),IF(AND(YEAR($A40)=2003,YEAR($A41)=2004),SUM($J$12:$J40,$J41*(P$8-$A40)/($A41-$A40)),"")))</f>
        <v/>
      </c>
      <c r="AB39" s="67" t="str">
        <f>IF($A40="","",IF($A41="",IF(YEAR($A40)=2004,SUM($J$12:$J40),""),IF(AND(YEAR($A40)=2004,YEAR($A41)=2005),SUM($J$12:$J40,$J41*(Q$8-$A40)/($A41-$A40)),"")))</f>
        <v/>
      </c>
      <c r="AC39" s="67" t="str">
        <f>IF($A40="","",IF($A41="",IF(YEAR($A40)=2005,SUM($J$12:$J40),""),IF(AND(YEAR($A40)=2005,YEAR($A41)=2006),SUM($J$12:$J40,$J41*(R$8-$A40)/($A41-$A40)),"")))</f>
        <v/>
      </c>
      <c r="AD39" s="67" t="str">
        <f>IF($A40="","",IF($A41="",IF(YEAR($A40)=2006,SUM($J$12:$J40),""),IF(AND(YEAR($A40)=2006,YEAR($A41)=2007),SUM($J$12:$J40,$J41*(S$8-$A40)/($A41-$A40)),"")))</f>
        <v/>
      </c>
      <c r="AE39" s="67" t="str">
        <f>IF($A40="","",IF($A41="",IF(YEAR($A40)=2007,SUM($J$12:$J40),""),IF(AND(YEAR($A40)=2007,YEAR($A41)=2008),SUM($J$12:$J40,$J41*(T$8-$A40)/($A41-$A40)),"")))</f>
        <v/>
      </c>
      <c r="AF39" s="67" t="str">
        <f>IF($A40="","",IF($A41="",IF(YEAR($A40)=2008,SUM($J$12:$J40),""),IF(AND(YEAR($A40)=2008,YEAR($A41)=2009),SUM($J$12:$J40,$J41*(U$8-$A40)/($A41-$A40)),"")))</f>
        <v/>
      </c>
      <c r="AG39" s="67" t="str">
        <f>IF($A40="","",IF($A41="",IF(YEAR($A40)=2009,SUM($J$12:$J40),""),IF(AND(YEAR($A40)=2009,YEAR($A41)=2010),SUM($J$12:$J40,$J41*(V$8-$A40)/($A41-$A40)),"")))</f>
        <v/>
      </c>
      <c r="AH39" s="67" t="str">
        <f>IF($A40="","",IF($A41="",IF(YEAR($A40)=2010,SUM($J$12:$J40),""),IF(AND(YEAR($A40)=2010,YEAR($A41)=2011),SUM($J$12:$J40,$J41*(W$8-$A40)/($A41-$A40)),"")))</f>
        <v/>
      </c>
      <c r="AI39" s="67" t="str">
        <f>IF($A40="","",IF($A41="",IF(YEAR($A40)=2011,SUM($J$12:$J40),""),IF(AND(YEAR($A40)=2011,YEAR($A41)=2012),SUM($J$12:$J40,$J41*(X$8-$A40)/($A41-$A40)),"")))</f>
        <v/>
      </c>
      <c r="AJ39" s="67" t="str">
        <f>IF($A40="","",IF($A41="",IF(YEAR($A40)=2012,SUM($J$12:$J40),""),IF(AND(YEAR($A40)=2012,YEAR($A41)=2013),SUM($J$12:$J40,$J41*(Y$8-$A40)/($A41-$A40)),"")))</f>
        <v/>
      </c>
    </row>
    <row r="40" spans="1:36" x14ac:dyDescent="0.2">
      <c r="A40" s="309" t="str">
        <f t="shared" si="0"/>
        <v/>
      </c>
      <c r="B40" s="203" t="str">
        <f>IF($E$5*$E$7&lt;28," ",28)</f>
        <v xml:space="preserve"> </v>
      </c>
      <c r="C40" s="201" t="str">
        <f>IF(AND(B38=" ",B39=" ",B40=" ")," ",IF(B39=" ",SUM(C$13:C38),IF(B40=" "," ",D40+E40)))</f>
        <v xml:space="preserve"> </v>
      </c>
      <c r="D40" s="201" t="str">
        <f>IF(AND(B38=" ",B39=" ",B40=" ")," ",IF(B39=" ",SUM(D$13:D38),IF(B40=" "," ",ROUND(F39*E$6/E$7,2))))</f>
        <v xml:space="preserve"> </v>
      </c>
      <c r="E40" s="201" t="str">
        <f>IF(AND(B38=" ",B39=" ",B40=" ")," ",IF(B39=" ",SUM(E$13:E38),IF(B40=" "," ",E$8)))</f>
        <v xml:space="preserve"> </v>
      </c>
      <c r="F40" s="201" t="str">
        <f>IF(AND(B38=" ",B39=" ",B40=" ")," ",IF(B39=" ",SUM(F$12:F37),IF(B40=" "," ",F39-E40)))</f>
        <v xml:space="preserve"> </v>
      </c>
      <c r="G40" s="201" t="str">
        <f>IF(AND(B38=" ",B39=" ",B40=" ")," ",IF(B39=" ",SUM(G$12:G38),IF(B41=" ",IF(E$5*E$7=B40,C40-C$7+C$8+G$10," "),C40)))</f>
        <v xml:space="preserve"> </v>
      </c>
      <c r="H40" s="204" t="str">
        <f>IF(AND(B38=" ",B39=" ",B40=" ")," ",IF(B39=" ",SUM(H$13:H38)*E$7,IF(B40=" "," ",IF(B41=" ",IF(E$5*E$7=B40,IRR(G$12:G40,0.01)," ")," "))))</f>
        <v xml:space="preserve"> </v>
      </c>
      <c r="I40" s="202" t="str">
        <f t="shared" si="1"/>
        <v/>
      </c>
      <c r="J40" s="202" t="str">
        <f t="shared" si="2"/>
        <v/>
      </c>
      <c r="K40" s="55"/>
      <c r="L40" s="56"/>
      <c r="O40" s="67"/>
      <c r="P40" s="67" t="str">
        <f>IF($A41="","",IF($A42="",IF(YEAR($A41)=2003,SUM($D$12:$D41),""),IF(AND(YEAR($A41)=2003,YEAR($A42)=2004),SUM($D$12:$D41,$D42*(P$8-$A41)/($A42-$A41)),"")))</f>
        <v/>
      </c>
      <c r="Q40" s="67" t="str">
        <f>IF(A41="","",IF(A42="",IF(YEAR(A41)=2004,SUM(D$12:D41),""),IF(AND(YEAR(A41)=2004,YEAR(A42)=2005),SUM(D$12:D41,D42*(Q$8-A41)/(A42-A41)),"")))</f>
        <v/>
      </c>
      <c r="R40" s="67" t="str">
        <f>IF(A41="","",IF(A42="",IF(YEAR(A41)=2005,SUM(D$12:D41),""),IF(AND(YEAR(A41)=2005,YEAR(A42)=2006),SUM(D$12:D41,D42*(R$8-A41)/(A42-A41)),"")))</f>
        <v/>
      </c>
      <c r="S40" s="67" t="str">
        <f>IF(A41="","",IF(A42="",IF(YEAR(A41)=2006,SUM(D$12:D41),""),IF(AND(YEAR(A41)=2006,YEAR(A42)=2007),SUM(D$12:D41,D42*(S$8-A41)/(A42-A41)),"")))</f>
        <v/>
      </c>
      <c r="T40" s="67" t="str">
        <f>IF(A41="","",IF(A42="",IF(YEAR(A41)=2007,SUM(D$12:D41),""),IF(AND(YEAR(A41)=2007,YEAR(A42)=2008),SUM(D$12:D41,D42*(T$8-A41)/(A42-A41)),"")))</f>
        <v/>
      </c>
      <c r="U40" s="67" t="str">
        <f>IF(A41="","",IF(A42="",IF(YEAR(A41)=2008,SUM(D$12:D41),""),IF(AND(YEAR(A41)=2008,YEAR(A42)=2009),SUM(D$12:D41,D42*(U$8-A41)/(A42-A41)),"")))</f>
        <v/>
      </c>
      <c r="V40" s="67" t="str">
        <f>IF(A41="","",IF(A42="",IF(YEAR(A41)=2009,SUM(D$12:D41),""),IF(AND(YEAR(A41)=2009,YEAR(A42)=2010),SUM(D$12:D41,D42*(V$8-A41)/(A42-A41)),"")))</f>
        <v/>
      </c>
      <c r="W40" s="67" t="str">
        <f>IF(A41="","",IF(A42="",IF(YEAR(A41)=2010,SUM(D$12:D41),""),IF(AND(YEAR(A41)=2010,YEAR(A42)=2011),SUM(D$12:D41,D42*(W$8-A41)/(A42-A41)),"")))</f>
        <v/>
      </c>
      <c r="X40" s="67" t="str">
        <f>IF(A41="","",IF(A42="",IF(YEAR(A41)=2011,SUM(D$12:D41),""),IF(AND(YEAR(A41)=2011,YEAR(A42)=2012),SUM(D$12:D41,D42*(X$8-A41)/(A42-A41)),"")))</f>
        <v/>
      </c>
      <c r="Y40" s="72" t="str">
        <f>IF(A41="","",IF(A42="",IF(YEAR(A41)=2012,SUM(D$12:D41),""),IF(AND(YEAR(A41)=2012,YEAR(A42)=2013),SUM(D$12:D41,D42*(Y$8-A41)/(A42-A41)),"")))</f>
        <v/>
      </c>
      <c r="Z40" s="67" t="str">
        <f>IF($A41="","",IF($A42="",IF(YEAR($A41)=2002,SUM($J$12:$J41),""),IF(AND(YEAR($A41)=2002,YEAR($A42)=2003),SUM($J$12:$J41,$J42*(O$8-$A41)/($A42-$A41)),"")))</f>
        <v/>
      </c>
      <c r="AA40" s="67" t="str">
        <f>IF($A41="","",IF($A42="",IF(YEAR($A41)=2003,SUM($J$12:$J41),""),IF(AND(YEAR($A41)=2003,YEAR($A42)=2004),SUM($J$12:$J41,$J42*(P$8-$A41)/($A42-$A41)),"")))</f>
        <v/>
      </c>
      <c r="AB40" s="67" t="str">
        <f>IF($A41="","",IF($A42="",IF(YEAR($A41)=2004,SUM($J$12:$J41),""),IF(AND(YEAR($A41)=2004,YEAR($A42)=2005),SUM($J$12:$J41,$J42*(Q$8-$A41)/($A42-$A41)),"")))</f>
        <v/>
      </c>
      <c r="AC40" s="67" t="str">
        <f>IF($A41="","",IF($A42="",IF(YEAR($A41)=2005,SUM($J$12:$J41),""),IF(AND(YEAR($A41)=2005,YEAR($A42)=2006),SUM($J$12:$J41,$J42*(R$8-$A41)/($A42-$A41)),"")))</f>
        <v/>
      </c>
      <c r="AD40" s="67" t="str">
        <f>IF($A41="","",IF($A42="",IF(YEAR($A41)=2006,SUM($J$12:$J41),""),IF(AND(YEAR($A41)=2006,YEAR($A42)=2007),SUM($J$12:$J41,$J42*(S$8-$A41)/($A42-$A41)),"")))</f>
        <v/>
      </c>
      <c r="AE40" s="67" t="str">
        <f>IF($A41="","",IF($A42="",IF(YEAR($A41)=2007,SUM($J$12:$J41),""),IF(AND(YEAR($A41)=2007,YEAR($A42)=2008),SUM($J$12:$J41,$J42*(T$8-$A41)/($A42-$A41)),"")))</f>
        <v/>
      </c>
      <c r="AF40" s="67" t="str">
        <f>IF($A41="","",IF($A42="",IF(YEAR($A41)=2008,SUM($J$12:$J41),""),IF(AND(YEAR($A41)=2008,YEAR($A42)=2009),SUM($J$12:$J41,$J42*(U$8-$A41)/($A42-$A41)),"")))</f>
        <v/>
      </c>
      <c r="AG40" s="67" t="str">
        <f>IF($A41="","",IF($A42="",IF(YEAR($A41)=2009,SUM($J$12:$J41),""),IF(AND(YEAR($A41)=2009,YEAR($A42)=2010),SUM($J$12:$J41,$J42*(V$8-$A41)/($A42-$A41)),"")))</f>
        <v/>
      </c>
      <c r="AH40" s="67" t="str">
        <f>IF($A41="","",IF($A42="",IF(YEAR($A41)=2010,SUM($J$12:$J41),""),IF(AND(YEAR($A41)=2010,YEAR($A42)=2011),SUM($J$12:$J41,$J42*(W$8-$A41)/($A42-$A41)),"")))</f>
        <v/>
      </c>
      <c r="AI40" s="67" t="str">
        <f>IF($A41="","",IF($A42="",IF(YEAR($A41)=2011,SUM($J$12:$J41),""),IF(AND(YEAR($A41)=2011,YEAR($A42)=2012),SUM($J$12:$J41,$J42*(X$8-$A41)/($A42-$A41)),"")))</f>
        <v/>
      </c>
      <c r="AJ40" s="67" t="str">
        <f>IF($A41="","",IF($A42="",IF(YEAR($A41)=2012,SUM($J$12:$J41),""),IF(AND(YEAR($A41)=2012,YEAR($A42)=2013),SUM($J$12:$J41,$J42*(Y$8-$A41)/($A42-$A41)),"")))</f>
        <v/>
      </c>
    </row>
    <row r="41" spans="1:36" x14ac:dyDescent="0.2">
      <c r="A41" s="309" t="str">
        <f t="shared" si="0"/>
        <v/>
      </c>
      <c r="B41" s="203" t="str">
        <f>IF($E$5*$E$7&lt;29," ",29)</f>
        <v xml:space="preserve"> </v>
      </c>
      <c r="C41" s="201" t="str">
        <f>IF(AND(B39=" ",B40=" ",B41=" ")," ",IF(B40=" ",SUM(C$13:C39),IF(B41=" "," ",D41+E41)))</f>
        <v xml:space="preserve"> </v>
      </c>
      <c r="D41" s="201" t="str">
        <f>IF(AND(B39=" ",B40=" ",B41=" ")," ",IF(B40=" ",SUM(D$13:D39),IF(B41=" "," ",ROUND(F40*E$6/E$7,2))))</f>
        <v xml:space="preserve"> </v>
      </c>
      <c r="E41" s="201" t="str">
        <f>IF(AND(B39=" ",B40=" ",B41=" ")," ",IF(B40=" ",SUM(E$13:E39),IF(B41=" "," ",E$8)))</f>
        <v xml:space="preserve"> </v>
      </c>
      <c r="F41" s="201" t="str">
        <f>IF(AND(B39=" ",B40=" ",B41=" ")," ",IF(B40=" ",SUM(F$12:F38),IF(B41=" "," ",F40-E41)))</f>
        <v xml:space="preserve"> </v>
      </c>
      <c r="G41" s="201" t="str">
        <f>IF(AND(B39=" ",B40=" ",B41=" ")," ",IF(B40=" ",SUM(G$12:G39),IF(B42=" ",IF(E$5*E$7=B41,C41-C$7+C$8+G$10," "),C41)))</f>
        <v xml:space="preserve"> </v>
      </c>
      <c r="H41" s="204" t="str">
        <f>IF(AND(B39=" ",B40=" ",B41=" ")," ",IF(B40=" ",SUM(H$13:H39)*E$7,IF(B41=" "," ",IF(B42=" ",IF(E$5*E$7=B41,IRR(G$12:G41,0.01)," ")," "))))</f>
        <v xml:space="preserve"> </v>
      </c>
      <c r="I41" s="202" t="str">
        <f t="shared" si="1"/>
        <v/>
      </c>
      <c r="J41" s="202" t="str">
        <f t="shared" si="2"/>
        <v/>
      </c>
      <c r="K41" s="55"/>
      <c r="L41" s="56"/>
      <c r="O41" s="67"/>
      <c r="P41" s="67" t="str">
        <f>IF($A42="","",IF($A43="",IF(YEAR($A42)=2003,SUM($D$12:$D42),""),IF(AND(YEAR($A42)=2003,YEAR($A43)=2004),SUM($D$12:$D42,$D43*(P$8-$A42)/($A43-$A42)),"")))</f>
        <v/>
      </c>
      <c r="Q41" s="67" t="str">
        <f>IF(A42="","",IF(A43="",IF(YEAR(A42)=2004,SUM(D$12:D42),""),IF(AND(YEAR(A42)=2004,YEAR(A43)=2005),SUM(D$12:D42,D43*(Q$8-A42)/(A43-A42)),"")))</f>
        <v/>
      </c>
      <c r="R41" s="67" t="str">
        <f>IF(A42="","",IF(A43="",IF(YEAR(A42)=2005,SUM(D$12:D42),""),IF(AND(YEAR(A42)=2005,YEAR(A43)=2006),SUM(D$12:D42,D43*(R$8-A42)/(A43-A42)),"")))</f>
        <v/>
      </c>
      <c r="S41" s="67" t="str">
        <f>IF(A42="","",IF(A43="",IF(YEAR(A42)=2006,SUM(D$12:D42),""),IF(AND(YEAR(A42)=2006,YEAR(A43)=2007),SUM(D$12:D42,D43*(S$8-A42)/(A43-A42)),"")))</f>
        <v/>
      </c>
      <c r="T41" s="67" t="str">
        <f>IF(A42="","",IF(A43="",IF(YEAR(A42)=2007,SUM(D$12:D42),""),IF(AND(YEAR(A42)=2007,YEAR(A43)=2008),SUM(D$12:D42,D43*(T$8-A42)/(A43-A42)),"")))</f>
        <v/>
      </c>
      <c r="U41" s="67" t="str">
        <f>IF(A42="","",IF(A43="",IF(YEAR(A42)=2008,SUM(D$12:D42),""),IF(AND(YEAR(A42)=2008,YEAR(A43)=2009),SUM(D$12:D42,D43*(U$8-A42)/(A43-A42)),"")))</f>
        <v/>
      </c>
      <c r="V41" s="67" t="str">
        <f>IF(A42="","",IF(A43="",IF(YEAR(A42)=2009,SUM(D$12:D42),""),IF(AND(YEAR(A42)=2009,YEAR(A43)=2010),SUM(D$12:D42,D43*(V$8-A42)/(A43-A42)),"")))</f>
        <v/>
      </c>
      <c r="W41" s="67" t="str">
        <f>IF(A42="","",IF(A43="",IF(YEAR(A42)=2010,SUM(D$12:D42),""),IF(AND(YEAR(A42)=2010,YEAR(A43)=2011),SUM(D$12:D42,D43*(W$8-A42)/(A43-A42)),"")))</f>
        <v/>
      </c>
      <c r="X41" s="67" t="str">
        <f>IF(A42="","",IF(A43="",IF(YEAR(A42)=2011,SUM(D$12:D42),""),IF(AND(YEAR(A42)=2011,YEAR(A43)=2012),SUM(D$12:D42,D43*(X$8-A42)/(A43-A42)),"")))</f>
        <v/>
      </c>
      <c r="Y41" s="72" t="str">
        <f>IF(A42="","",IF(A43="",IF(YEAR(A42)=2012,SUM(D$12:D42),""),IF(AND(YEAR(A42)=2012,YEAR(A43)=2013),SUM(D$12:D42,D43*(Y$8-A42)/(A43-A42)),"")))</f>
        <v/>
      </c>
      <c r="Z41" s="67" t="str">
        <f>IF($A42="","",IF($A43="",IF(YEAR($A42)=2002,SUM($J$12:$J42),""),IF(AND(YEAR($A42)=2002,YEAR($A43)=2003),SUM($J$12:$J42,$J43*(O$8-$A42)/($A43-$A42)),"")))</f>
        <v/>
      </c>
      <c r="AA41" s="67" t="str">
        <f>IF($A42="","",IF($A43="",IF(YEAR($A42)=2003,SUM($J$12:$J42),""),IF(AND(YEAR($A42)=2003,YEAR($A43)=2004),SUM($J$12:$J42,$J43*(P$8-$A42)/($A43-$A42)),"")))</f>
        <v/>
      </c>
      <c r="AB41" s="67" t="str">
        <f>IF($A42="","",IF($A43="",IF(YEAR($A42)=2004,SUM($J$12:$J42),""),IF(AND(YEAR($A42)=2004,YEAR($A43)=2005),SUM($J$12:$J42,$J43*(Q$8-$A42)/($A43-$A42)),"")))</f>
        <v/>
      </c>
      <c r="AC41" s="67" t="str">
        <f>IF($A42="","",IF($A43="",IF(YEAR($A42)=2005,SUM($J$12:$J42),""),IF(AND(YEAR($A42)=2005,YEAR($A43)=2006),SUM($J$12:$J42,$J43*(R$8-$A42)/($A43-$A42)),"")))</f>
        <v/>
      </c>
      <c r="AD41" s="67" t="str">
        <f>IF($A42="","",IF($A43="",IF(YEAR($A42)=2006,SUM($J$12:$J42),""),IF(AND(YEAR($A42)=2006,YEAR($A43)=2007),SUM($J$12:$J42,$J43*(S$8-$A42)/($A43-$A42)),"")))</f>
        <v/>
      </c>
      <c r="AE41" s="67" t="str">
        <f>IF($A42="","",IF($A43="",IF(YEAR($A42)=2007,SUM($J$12:$J42),""),IF(AND(YEAR($A42)=2007,YEAR($A43)=2008),SUM($J$12:$J42,$J43*(T$8-$A42)/($A43-$A42)),"")))</f>
        <v/>
      </c>
      <c r="AF41" s="67" t="str">
        <f>IF($A42="","",IF($A43="",IF(YEAR($A42)=2008,SUM($J$12:$J42),""),IF(AND(YEAR($A42)=2008,YEAR($A43)=2009),SUM($J$12:$J42,$J43*(U$8-$A42)/($A43-$A42)),"")))</f>
        <v/>
      </c>
      <c r="AG41" s="67" t="str">
        <f>IF($A42="","",IF($A43="",IF(YEAR($A42)=2009,SUM($J$12:$J42),""),IF(AND(YEAR($A42)=2009,YEAR($A43)=2010),SUM($J$12:$J42,$J43*(V$8-$A42)/($A43-$A42)),"")))</f>
        <v/>
      </c>
      <c r="AH41" s="67" t="str">
        <f>IF($A42="","",IF($A43="",IF(YEAR($A42)=2010,SUM($J$12:$J42),""),IF(AND(YEAR($A42)=2010,YEAR($A43)=2011),SUM($J$12:$J42,$J43*(W$8-$A42)/($A43-$A42)),"")))</f>
        <v/>
      </c>
      <c r="AI41" s="67" t="str">
        <f>IF($A42="","",IF($A43="",IF(YEAR($A42)=2011,SUM($J$12:$J42),""),IF(AND(YEAR($A42)=2011,YEAR($A43)=2012),SUM($J$12:$J42,$J43*(X$8-$A42)/($A43-$A42)),"")))</f>
        <v/>
      </c>
      <c r="AJ41" s="67" t="str">
        <f>IF($A42="","",IF($A43="",IF(YEAR($A42)=2012,SUM($J$12:$J42),""),IF(AND(YEAR($A42)=2012,YEAR($A43)=2013),SUM($J$12:$J42,$J43*(Y$8-$A42)/($A43-$A42)),"")))</f>
        <v/>
      </c>
    </row>
    <row r="42" spans="1:36" x14ac:dyDescent="0.2">
      <c r="A42" s="309" t="str">
        <f t="shared" si="0"/>
        <v/>
      </c>
      <c r="B42" s="203" t="str">
        <f>IF($E$5*$E$7&lt;30," ",30)</f>
        <v xml:space="preserve"> </v>
      </c>
      <c r="C42" s="201" t="str">
        <f>IF(AND(B40=" ",B41=" ",B42=" ")," ",IF(B41=" ",SUM(C$13:C40),IF(B42=" "," ",D42+E42)))</f>
        <v xml:space="preserve"> </v>
      </c>
      <c r="D42" s="201" t="str">
        <f>IF(AND(B40=" ",B41=" ",B42=" ")," ",IF(B41=" ",SUM(D$13:D40),IF(B42=" "," ",ROUND(F41*E$6/E$7,2))))</f>
        <v xml:space="preserve"> </v>
      </c>
      <c r="E42" s="201" t="str">
        <f>IF(AND(B40=" ",B41=" ",B42=" ")," ",IF(B41=" ",SUM(E$13:E40),IF(B42=" "," ",E$8)))</f>
        <v xml:space="preserve"> </v>
      </c>
      <c r="F42" s="201" t="str">
        <f>IF(AND(B40=" ",B41=" ",B42=" ")," ",IF(B41=" ",SUM(F$12:F39),IF(B42=" "," ",F41-E42)))</f>
        <v xml:space="preserve"> </v>
      </c>
      <c r="G42" s="201" t="str">
        <f>IF(AND(B40=" ",B41=" ",B42=" ")," ",IF(B41=" ",SUM(G$12:G40),IF(B43=" ",IF(E$5*E$7=B42,C42-C$7+C$8+G$10," "),C42)))</f>
        <v xml:space="preserve"> </v>
      </c>
      <c r="H42" s="204" t="str">
        <f>IF(AND(B40=" ",B41=" ",B42=" ")," ",IF(B41=" ",SUM(H$13:H40)*E$7,IF(B42=" "," ",IF(B43=" ",IF(E$5*E$7=B42,IRR(G$12:G42,0.01)," ")," "))))</f>
        <v xml:space="preserve"> </v>
      </c>
      <c r="I42" s="202" t="str">
        <f t="shared" si="1"/>
        <v/>
      </c>
      <c r="J42" s="202" t="str">
        <f t="shared" si="2"/>
        <v/>
      </c>
      <c r="K42" s="55"/>
      <c r="L42" s="56"/>
      <c r="O42" s="67"/>
      <c r="P42" s="67" t="str">
        <f>IF($A43="","",IF($A44="",IF(YEAR($A43)=2003,SUM($D$12:$D43),""),IF(AND(YEAR($A43)=2003,YEAR($A44)=2004),SUM($D$12:$D43,$D44*(P$8-$A43)/($A44-$A43)),"")))</f>
        <v/>
      </c>
      <c r="Q42" s="67" t="str">
        <f>IF(A43="","",IF(A44="",IF(YEAR(A43)=2004,SUM(D$12:D43),""),IF(AND(YEAR(A43)=2004,YEAR(A44)=2005),SUM(D$12:D43,D44*(Q$8-A43)/(A44-A43)),"")))</f>
        <v/>
      </c>
      <c r="R42" s="67" t="str">
        <f>IF(A43="","",IF(A44="",IF(YEAR(A43)=2005,SUM(D$12:D43),""),IF(AND(YEAR(A43)=2005,YEAR(A44)=2006),SUM(D$12:D43,D44*(R$8-A43)/(A44-A43)),"")))</f>
        <v/>
      </c>
      <c r="S42" s="67" t="str">
        <f>IF(A43="","",IF(A44="",IF(YEAR(A43)=2006,SUM(D$12:D43),""),IF(AND(YEAR(A43)=2006,YEAR(A44)=2007),SUM(D$12:D43,D44*(S$8-A43)/(A44-A43)),"")))</f>
        <v/>
      </c>
      <c r="T42" s="67" t="str">
        <f>IF(A43="","",IF(A44="",IF(YEAR(A43)=2007,SUM(D$12:D43),""),IF(AND(YEAR(A43)=2007,YEAR(A44)=2008),SUM(D$12:D43,D44*(T$8-A43)/(A44-A43)),"")))</f>
        <v/>
      </c>
      <c r="U42" s="67" t="str">
        <f>IF(A43="","",IF(A44="",IF(YEAR(A43)=2008,SUM(D$12:D43),""),IF(AND(YEAR(A43)=2008,YEAR(A44)=2009),SUM(D$12:D43,D44*(U$8-A43)/(A44-A43)),"")))</f>
        <v/>
      </c>
      <c r="V42" s="67" t="str">
        <f>IF(A43="","",IF(A44="",IF(YEAR(A43)=2009,SUM(D$12:D43),""),IF(AND(YEAR(A43)=2009,YEAR(A44)=2010),SUM(D$12:D43,D44*(V$8-A43)/(A44-A43)),"")))</f>
        <v/>
      </c>
      <c r="W42" s="67" t="str">
        <f>IF(A43="","",IF(A44="",IF(YEAR(A43)=2010,SUM(D$12:D43),""),IF(AND(YEAR(A43)=2010,YEAR(A44)=2011),SUM(D$12:D43,D44*(W$8-A43)/(A44-A43)),"")))</f>
        <v/>
      </c>
      <c r="X42" s="67" t="str">
        <f>IF(A43="","",IF(A44="",IF(YEAR(A43)=2011,SUM(D$12:D43),""),IF(AND(YEAR(A43)=2011,YEAR(A44)=2012),SUM(D$12:D43,D44*(X$8-A43)/(A44-A43)),"")))</f>
        <v/>
      </c>
      <c r="Y42" s="72" t="str">
        <f>IF(A43="","",IF(A44="",IF(YEAR(A43)=2012,SUM(D$12:D43),""),IF(AND(YEAR(A43)=2012,YEAR(A44)=2013),SUM(D$12:D43,D44*(Y$8-A43)/(A44-A43)),"")))</f>
        <v/>
      </c>
      <c r="Z42" s="67" t="str">
        <f>IF($A43="","",IF($A44="",IF(YEAR($A43)=2002,SUM($J$12:$J43),""),IF(AND(YEAR($A43)=2002,YEAR($A44)=2003),SUM($J$12:$J43,$J44*(O$8-$A43)/($A44-$A43)),"")))</f>
        <v/>
      </c>
      <c r="AA42" s="67" t="str">
        <f>IF($A43="","",IF($A44="",IF(YEAR($A43)=2003,SUM($J$12:$J43),""),IF(AND(YEAR($A43)=2003,YEAR($A44)=2004),SUM($J$12:$J43,$J44*(P$8-$A43)/($A44-$A43)),"")))</f>
        <v/>
      </c>
      <c r="AB42" s="67" t="str">
        <f>IF($A43="","",IF($A44="",IF(YEAR($A43)=2004,SUM($J$12:$J43),""),IF(AND(YEAR($A43)=2004,YEAR($A44)=2005),SUM($J$12:$J43,$J44*(Q$8-$A43)/($A44-$A43)),"")))</f>
        <v/>
      </c>
      <c r="AC42" s="67" t="str">
        <f>IF($A43="","",IF($A44="",IF(YEAR($A43)=2005,SUM($J$12:$J43),""),IF(AND(YEAR($A43)=2005,YEAR($A44)=2006),SUM($J$12:$J43,$J44*(R$8-$A43)/($A44-$A43)),"")))</f>
        <v/>
      </c>
      <c r="AD42" s="67" t="str">
        <f>IF($A43="","",IF($A44="",IF(YEAR($A43)=2006,SUM($J$12:$J43),""),IF(AND(YEAR($A43)=2006,YEAR($A44)=2007),SUM($J$12:$J43,$J44*(S$8-$A43)/($A44-$A43)),"")))</f>
        <v/>
      </c>
      <c r="AE42" s="67" t="str">
        <f>IF($A43="","",IF($A44="",IF(YEAR($A43)=2007,SUM($J$12:$J43),""),IF(AND(YEAR($A43)=2007,YEAR($A44)=2008),SUM($J$12:$J43,$J44*(T$8-$A43)/($A44-$A43)),"")))</f>
        <v/>
      </c>
      <c r="AF42" s="67" t="str">
        <f>IF($A43="","",IF($A44="",IF(YEAR($A43)=2008,SUM($J$12:$J43),""),IF(AND(YEAR($A43)=2008,YEAR($A44)=2009),SUM($J$12:$J43,$J44*(U$8-$A43)/($A44-$A43)),"")))</f>
        <v/>
      </c>
      <c r="AG42" s="67" t="str">
        <f>IF($A43="","",IF($A44="",IF(YEAR($A43)=2009,SUM($J$12:$J43),""),IF(AND(YEAR($A43)=2009,YEAR($A44)=2010),SUM($J$12:$J43,$J44*(V$8-$A43)/($A44-$A43)),"")))</f>
        <v/>
      </c>
      <c r="AH42" s="67" t="str">
        <f>IF($A43="","",IF($A44="",IF(YEAR($A43)=2010,SUM($J$12:$J43),""),IF(AND(YEAR($A43)=2010,YEAR($A44)=2011),SUM($J$12:$J43,$J44*(W$8-$A43)/($A44-$A43)),"")))</f>
        <v/>
      </c>
      <c r="AI42" s="67" t="str">
        <f>IF($A43="","",IF($A44="",IF(YEAR($A43)=2011,SUM($J$12:$J43),""),IF(AND(YEAR($A43)=2011,YEAR($A44)=2012),SUM($J$12:$J43,$J44*(X$8-$A43)/($A44-$A43)),"")))</f>
        <v/>
      </c>
      <c r="AJ42" s="67" t="str">
        <f>IF($A43="","",IF($A44="",IF(YEAR($A43)=2012,SUM($J$12:$J43),""),IF(AND(YEAR($A43)=2012,YEAR($A44)=2013),SUM($J$12:$J43,$J44*(Y$8-$A43)/($A44-$A43)),"")))</f>
        <v/>
      </c>
    </row>
    <row r="43" spans="1:36" x14ac:dyDescent="0.2">
      <c r="A43" s="309" t="str">
        <f t="shared" si="0"/>
        <v/>
      </c>
      <c r="B43" s="203" t="str">
        <f>IF($E$5*$E$7&lt;31," ",31)</f>
        <v xml:space="preserve"> </v>
      </c>
      <c r="C43" s="201" t="str">
        <f>IF(AND(B41=" ",B42=" ",B43=" ")," ",IF(B42=" ",SUM(C$13:C41),IF(B43=" "," ",D43+E43)))</f>
        <v xml:space="preserve"> </v>
      </c>
      <c r="D43" s="201" t="str">
        <f>IF(AND(B41=" ",B42=" ",B43=" ")," ",IF(B42=" ",SUM(D$13:D41),IF(B43=" "," ",ROUND(F42*E$6/E$7,2))))</f>
        <v xml:space="preserve"> </v>
      </c>
      <c r="E43" s="201" t="str">
        <f>IF(AND(B41=" ",B42=" ",B43=" ")," ",IF(B42=" ",SUM(E$13:E41),IF(B43=" "," ",E$8)))</f>
        <v xml:space="preserve"> </v>
      </c>
      <c r="F43" s="201" t="str">
        <f>IF(AND(B41=" ",B42=" ",B43=" ")," ",IF(B42=" ",SUM(F$12:F40),IF(B43=" "," ",F42-E43)))</f>
        <v xml:space="preserve"> </v>
      </c>
      <c r="G43" s="201" t="str">
        <f>IF(AND(B41=" ",B42=" ",B43=" ")," ",IF(B42=" ",SUM(G$12:G41),IF(B44=" ",IF(E$5*E$7=B43,C43-C$7+C$8+G$10," "),C43)))</f>
        <v xml:space="preserve"> </v>
      </c>
      <c r="H43" s="204" t="str">
        <f>IF(AND(B41=" ",B42=" ",B43=" ")," ",IF(B42=" ",SUM(H$13:H41)*E$7,IF(B43=" "," ",IF(B44=" ",IF(E$5*E$7=B43,IRR(G$12:G43,0.01)," ")," "))))</f>
        <v xml:space="preserve"> </v>
      </c>
      <c r="I43" s="202" t="str">
        <f t="shared" si="1"/>
        <v/>
      </c>
      <c r="J43" s="202" t="str">
        <f t="shared" si="2"/>
        <v/>
      </c>
      <c r="K43" s="55"/>
      <c r="L43" s="56"/>
      <c r="O43" s="67"/>
      <c r="P43" s="67" t="str">
        <f>IF($A44="","",IF($A45="",IF(YEAR($A44)=2003,SUM($D$12:$D44),""),IF(AND(YEAR($A44)=2003,YEAR($A45)=2004),SUM($D$12:$D44,$D45*(P$8-$A44)/($A45-$A44)),"")))</f>
        <v/>
      </c>
      <c r="Q43" s="67" t="str">
        <f>IF(A44="","",IF(A45="",IF(YEAR(A44)=2004,SUM(D$12:D44),""),IF(AND(YEAR(A44)=2004,YEAR(A45)=2005),SUM(D$12:D44,D45*(Q$8-A44)/(A45-A44)),"")))</f>
        <v/>
      </c>
      <c r="R43" s="67" t="str">
        <f>IF(A44="","",IF(A45="",IF(YEAR(A44)=2005,SUM(D$12:D44),""),IF(AND(YEAR(A44)=2005,YEAR(A45)=2006),SUM(D$12:D44,D45*(R$8-A44)/(A45-A44)),"")))</f>
        <v/>
      </c>
      <c r="S43" s="67" t="str">
        <f>IF(A44="","",IF(A45="",IF(YEAR(A44)=2006,SUM(D$12:D44),""),IF(AND(YEAR(A44)=2006,YEAR(A45)=2007),SUM(D$12:D44,D45*(S$8-A44)/(A45-A44)),"")))</f>
        <v/>
      </c>
      <c r="T43" s="67" t="str">
        <f>IF(A44="","",IF(A45="",IF(YEAR(A44)=2007,SUM(D$12:D44),""),IF(AND(YEAR(A44)=2007,YEAR(A45)=2008),SUM(D$12:D44,D45*(T$8-A44)/(A45-A44)),"")))</f>
        <v/>
      </c>
      <c r="U43" s="67" t="str">
        <f>IF(A44="","",IF(A45="",IF(YEAR(A44)=2008,SUM(D$12:D44),""),IF(AND(YEAR(A44)=2008,YEAR(A45)=2009),SUM(D$12:D44,D45*(U$8-A44)/(A45-A44)),"")))</f>
        <v/>
      </c>
      <c r="V43" s="67" t="str">
        <f>IF(A44="","",IF(A45="",IF(YEAR(A44)=2009,SUM(D$12:D44),""),IF(AND(YEAR(A44)=2009,YEAR(A45)=2010),SUM(D$12:D44,D45*(V$8-A44)/(A45-A44)),"")))</f>
        <v/>
      </c>
      <c r="W43" s="67" t="str">
        <f>IF(A44="","",IF(A45="",IF(YEAR(A44)=2010,SUM(D$12:D44),""),IF(AND(YEAR(A44)=2010,YEAR(A45)=2011),SUM(D$12:D44,D45*(W$8-A44)/(A45-A44)),"")))</f>
        <v/>
      </c>
      <c r="X43" s="67" t="str">
        <f>IF(A44="","",IF(A45="",IF(YEAR(A44)=2011,SUM(D$12:D44),""),IF(AND(YEAR(A44)=2011,YEAR(A45)=2012),SUM(D$12:D44,D45*(X$8-A44)/(A45-A44)),"")))</f>
        <v/>
      </c>
      <c r="Y43" s="72" t="str">
        <f>IF(A44="","",IF(A45="",IF(YEAR(A44)=2012,SUM(D$12:D44),""),IF(AND(YEAR(A44)=2012,YEAR(A45)=2013),SUM(D$12:D44,D45*(Y$8-A44)/(A45-A44)),"")))</f>
        <v/>
      </c>
      <c r="Z43" s="67" t="str">
        <f>IF($A44="","",IF($A45="",IF(YEAR($A44)=2002,SUM($J$12:$J44),""),IF(AND(YEAR($A44)=2002,YEAR($A45)=2003),SUM($J$12:$J44,$J45*(O$8-$A44)/($A45-$A44)),"")))</f>
        <v/>
      </c>
      <c r="AA43" s="67" t="str">
        <f>IF($A44="","",IF($A45="",IF(YEAR($A44)=2003,SUM($J$12:$J44),""),IF(AND(YEAR($A44)=2003,YEAR($A45)=2004),SUM($J$12:$J44,$J45*(P$8-$A44)/($A45-$A44)),"")))</f>
        <v/>
      </c>
      <c r="AB43" s="67" t="str">
        <f>IF($A44="","",IF($A45="",IF(YEAR($A44)=2004,SUM($J$12:$J44),""),IF(AND(YEAR($A44)=2004,YEAR($A45)=2005),SUM($J$12:$J44,$J45*(Q$8-$A44)/($A45-$A44)),"")))</f>
        <v/>
      </c>
      <c r="AC43" s="67" t="str">
        <f>IF($A44="","",IF($A45="",IF(YEAR($A44)=2005,SUM($J$12:$J44),""),IF(AND(YEAR($A44)=2005,YEAR($A45)=2006),SUM($J$12:$J44,$J45*(R$8-$A44)/($A45-$A44)),"")))</f>
        <v/>
      </c>
      <c r="AD43" s="67" t="str">
        <f>IF($A44="","",IF($A45="",IF(YEAR($A44)=2006,SUM($J$12:$J44),""),IF(AND(YEAR($A44)=2006,YEAR($A45)=2007),SUM($J$12:$J44,$J45*(S$8-$A44)/($A45-$A44)),"")))</f>
        <v/>
      </c>
      <c r="AE43" s="67" t="str">
        <f>IF($A44="","",IF($A45="",IF(YEAR($A44)=2007,SUM($J$12:$J44),""),IF(AND(YEAR($A44)=2007,YEAR($A45)=2008),SUM($J$12:$J44,$J45*(T$8-$A44)/($A45-$A44)),"")))</f>
        <v/>
      </c>
      <c r="AF43" s="67" t="str">
        <f>IF($A44="","",IF($A45="",IF(YEAR($A44)=2008,SUM($J$12:$J44),""),IF(AND(YEAR($A44)=2008,YEAR($A45)=2009),SUM($J$12:$J44,$J45*(U$8-$A44)/($A45-$A44)),"")))</f>
        <v/>
      </c>
      <c r="AG43" s="67" t="str">
        <f>IF($A44="","",IF($A45="",IF(YEAR($A44)=2009,SUM($J$12:$J44),""),IF(AND(YEAR($A44)=2009,YEAR($A45)=2010),SUM($J$12:$J44,$J45*(V$8-$A44)/($A45-$A44)),"")))</f>
        <v/>
      </c>
      <c r="AH43" s="67" t="str">
        <f>IF($A44="","",IF($A45="",IF(YEAR($A44)=2010,SUM($J$12:$J44),""),IF(AND(YEAR($A44)=2010,YEAR($A45)=2011),SUM($J$12:$J44,$J45*(W$8-$A44)/($A45-$A44)),"")))</f>
        <v/>
      </c>
      <c r="AI43" s="67" t="str">
        <f>IF($A44="","",IF($A45="",IF(YEAR($A44)=2011,SUM($J$12:$J44),""),IF(AND(YEAR($A44)=2011,YEAR($A45)=2012),SUM($J$12:$J44,$J45*(X$8-$A44)/($A45-$A44)),"")))</f>
        <v/>
      </c>
      <c r="AJ43" s="67" t="str">
        <f>IF($A44="","",IF($A45="",IF(YEAR($A44)=2012,SUM($J$12:$J44),""),IF(AND(YEAR($A44)=2012,YEAR($A45)=2013),SUM($J$12:$J44,$J45*(Y$8-$A44)/($A45-$A44)),"")))</f>
        <v/>
      </c>
    </row>
    <row r="44" spans="1:36" x14ac:dyDescent="0.2">
      <c r="A44" s="309" t="str">
        <f t="shared" si="0"/>
        <v/>
      </c>
      <c r="B44" s="203" t="str">
        <f>IF($E$5*$E$7&lt;32," ",32)</f>
        <v xml:space="preserve"> </v>
      </c>
      <c r="C44" s="201" t="str">
        <f>IF(AND(B42=" ",B43=" ",B44=" ")," ",IF(B43=" ",SUM(C$13:C42),IF(B44=" "," ",D44+E44)))</f>
        <v xml:space="preserve"> </v>
      </c>
      <c r="D44" s="201" t="str">
        <f>IF(AND(B42=" ",B43=" ",B44=" ")," ",IF(B43=" ",SUM(D$13:D42),IF(B44=" "," ",ROUND(F43*E$6/E$7,2))))</f>
        <v xml:space="preserve"> </v>
      </c>
      <c r="E44" s="201" t="str">
        <f>IF(AND(B42=" ",B43=" ",B44=" ")," ",IF(B43=" ",SUM(E$13:E42),IF(B44=" "," ",E$8)))</f>
        <v xml:space="preserve"> </v>
      </c>
      <c r="F44" s="201" t="str">
        <f>IF(AND(B42=" ",B43=" ",B44=" ")," ",IF(B43=" ",SUM(F$12:F41),IF(B44=" "," ",F43-E44)))</f>
        <v xml:space="preserve"> </v>
      </c>
      <c r="G44" s="201" t="str">
        <f>IF(AND(B42=" ",B43=" ",B44=" ")," ",IF(B43=" ",SUM(G$12:G42),IF(B45=" ",IF(E$5*E$7=B44,C44-C$7+C$8+G$10," "),C44)))</f>
        <v xml:space="preserve"> </v>
      </c>
      <c r="H44" s="204" t="str">
        <f>IF(AND(B42=" ",B43=" ",B44=" ")," ",IF(B43=" ",SUM(H$13:H42)*E$7,IF(B44=" "," ",IF(B45=" ",IF(E$5*E$7=B44,IRR(G$12:G44,0.01)," ")," "))))</f>
        <v xml:space="preserve"> </v>
      </c>
      <c r="I44" s="202" t="str">
        <f t="shared" si="1"/>
        <v/>
      </c>
      <c r="J44" s="202" t="str">
        <f t="shared" si="2"/>
        <v/>
      </c>
      <c r="K44" s="55"/>
      <c r="L44" s="56"/>
      <c r="O44" s="67"/>
      <c r="P44" s="67" t="str">
        <f>IF($A45="","",IF($A46="",IF(YEAR($A45)=2003,SUM($D$12:$D45),""),IF(AND(YEAR($A45)=2003,YEAR($A46)=2004),SUM($D$12:$D45,$D46*(P$8-$A45)/($A46-$A45)),"")))</f>
        <v/>
      </c>
      <c r="Q44" s="67" t="str">
        <f>IF(A45="","",IF(A46="",IF(YEAR(A45)=2004,SUM(D$12:D45),""),IF(AND(YEAR(A45)=2004,YEAR(A46)=2005),SUM(D$12:D45,D46*(Q$8-A45)/(A46-A45)),"")))</f>
        <v/>
      </c>
      <c r="R44" s="67" t="str">
        <f>IF(A45="","",IF(A46="",IF(YEAR(A45)=2005,SUM(D$12:D45),""),IF(AND(YEAR(A45)=2005,YEAR(A46)=2006),SUM(D$12:D45,D46*(R$8-A45)/(A46-A45)),"")))</f>
        <v/>
      </c>
      <c r="S44" s="67" t="str">
        <f>IF(A45="","",IF(A46="",IF(YEAR(A45)=2006,SUM(D$12:D45),""),IF(AND(YEAR(A45)=2006,YEAR(A46)=2007),SUM(D$12:D45,D46*(S$8-A45)/(A46-A45)),"")))</f>
        <v/>
      </c>
      <c r="T44" s="67" t="str">
        <f>IF(A45="","",IF(A46="",IF(YEAR(A45)=2007,SUM(D$12:D45),""),IF(AND(YEAR(A45)=2007,YEAR(A46)=2008),SUM(D$12:D45,D46*(T$8-A45)/(A46-A45)),"")))</f>
        <v/>
      </c>
      <c r="U44" s="67" t="str">
        <f>IF(A45="","",IF(A46="",IF(YEAR(A45)=2008,SUM(D$12:D45),""),IF(AND(YEAR(A45)=2008,YEAR(A46)=2009),SUM(D$12:D45,D46*(U$8-A45)/(A46-A45)),"")))</f>
        <v/>
      </c>
      <c r="V44" s="67" t="str">
        <f>IF(A45="","",IF(A46="",IF(YEAR(A45)=2009,SUM(D$12:D45),""),IF(AND(YEAR(A45)=2009,YEAR(A46)=2010),SUM(D$12:D45,D46*(V$8-A45)/(A46-A45)),"")))</f>
        <v/>
      </c>
      <c r="W44" s="67" t="str">
        <f>IF(A45="","",IF(A46="",IF(YEAR(A45)=2010,SUM(D$12:D45),""),IF(AND(YEAR(A45)=2010,YEAR(A46)=2011),SUM(D$12:D45,D46*(W$8-A45)/(A46-A45)),"")))</f>
        <v/>
      </c>
      <c r="X44" s="67" t="str">
        <f>IF(A45="","",IF(A46="",IF(YEAR(A45)=2011,SUM(D$12:D45),""),IF(AND(YEAR(A45)=2011,YEAR(A46)=2012),SUM(D$12:D45,D46*(X$8-A45)/(A46-A45)),"")))</f>
        <v/>
      </c>
      <c r="Y44" s="72" t="str">
        <f>IF(A45="","",IF(A46="",IF(YEAR(A45)=2012,SUM(D$12:D45),""),IF(AND(YEAR(A45)=2012,YEAR(A46)=2013),SUM(D$12:D45,D46*(Y$8-A45)/(A46-A45)),"")))</f>
        <v/>
      </c>
      <c r="Z44" s="67" t="str">
        <f>IF($A45="","",IF($A46="",IF(YEAR($A45)=2002,SUM($J$12:$J45),""),IF(AND(YEAR($A45)=2002,YEAR($A46)=2003),SUM($J$12:$J45,$J46*(O$8-$A45)/($A46-$A45)),"")))</f>
        <v/>
      </c>
      <c r="AA44" s="67" t="str">
        <f>IF($A45="","",IF($A46="",IF(YEAR($A45)=2003,SUM($J$12:$J45),""),IF(AND(YEAR($A45)=2003,YEAR($A46)=2004),SUM($J$12:$J45,$J46*(P$8-$A45)/($A46-$A45)),"")))</f>
        <v/>
      </c>
      <c r="AB44" s="67" t="str">
        <f>IF($A45="","",IF($A46="",IF(YEAR($A45)=2004,SUM($J$12:$J45),""),IF(AND(YEAR($A45)=2004,YEAR($A46)=2005),SUM($J$12:$J45,$J46*(Q$8-$A45)/($A46-$A45)),"")))</f>
        <v/>
      </c>
      <c r="AC44" s="67" t="str">
        <f>IF($A45="","",IF($A46="",IF(YEAR($A45)=2005,SUM($J$12:$J45),""),IF(AND(YEAR($A45)=2005,YEAR($A46)=2006),SUM($J$12:$J45,$J46*(R$8-$A45)/($A46-$A45)),"")))</f>
        <v/>
      </c>
      <c r="AD44" s="67" t="str">
        <f>IF($A45="","",IF($A46="",IF(YEAR($A45)=2006,SUM($J$12:$J45),""),IF(AND(YEAR($A45)=2006,YEAR($A46)=2007),SUM($J$12:$J45,$J46*(S$8-$A45)/($A46-$A45)),"")))</f>
        <v/>
      </c>
      <c r="AE44" s="67" t="str">
        <f>IF($A45="","",IF($A46="",IF(YEAR($A45)=2007,SUM($J$12:$J45),""),IF(AND(YEAR($A45)=2007,YEAR($A46)=2008),SUM($J$12:$J45,$J46*(T$8-$A45)/($A46-$A45)),"")))</f>
        <v/>
      </c>
      <c r="AF44" s="67" t="str">
        <f>IF($A45="","",IF($A46="",IF(YEAR($A45)=2008,SUM($J$12:$J45),""),IF(AND(YEAR($A45)=2008,YEAR($A46)=2009),SUM($J$12:$J45,$J46*(U$8-$A45)/($A46-$A45)),"")))</f>
        <v/>
      </c>
      <c r="AG44" s="67" t="str">
        <f>IF($A45="","",IF($A46="",IF(YEAR($A45)=2009,SUM($J$12:$J45),""),IF(AND(YEAR($A45)=2009,YEAR($A46)=2010),SUM($J$12:$J45,$J46*(V$8-$A45)/($A46-$A45)),"")))</f>
        <v/>
      </c>
      <c r="AH44" s="67" t="str">
        <f>IF($A45="","",IF($A46="",IF(YEAR($A45)=2010,SUM($J$12:$J45),""),IF(AND(YEAR($A45)=2010,YEAR($A46)=2011),SUM($J$12:$J45,$J46*(W$8-$A45)/($A46-$A45)),"")))</f>
        <v/>
      </c>
      <c r="AI44" s="67" t="str">
        <f>IF($A45="","",IF($A46="",IF(YEAR($A45)=2011,SUM($J$12:$J45),""),IF(AND(YEAR($A45)=2011,YEAR($A46)=2012),SUM($J$12:$J45,$J46*(X$8-$A45)/($A46-$A45)),"")))</f>
        <v/>
      </c>
      <c r="AJ44" s="67" t="str">
        <f>IF($A45="","",IF($A46="",IF(YEAR($A45)=2012,SUM($J$12:$J45),""),IF(AND(YEAR($A45)=2012,YEAR($A46)=2013),SUM($J$12:$J45,$J46*(Y$8-$A45)/($A46-$A45)),"")))</f>
        <v/>
      </c>
    </row>
    <row r="45" spans="1:36" x14ac:dyDescent="0.2">
      <c r="A45" s="309" t="str">
        <f t="shared" si="0"/>
        <v/>
      </c>
      <c r="B45" s="203" t="str">
        <f>IF($E$5*$E$7&lt;33," ",33)</f>
        <v xml:space="preserve"> </v>
      </c>
      <c r="C45" s="201" t="str">
        <f>IF(AND(B43=" ",B44=" ",B45=" ")," ",IF(B44=" ",SUM(C$13:C43),IF(B45=" "," ",D45+E45)))</f>
        <v xml:space="preserve"> </v>
      </c>
      <c r="D45" s="201" t="str">
        <f>IF(AND(B43=" ",B44=" ",B45=" ")," ",IF(B44=" ",SUM(D$13:D43),IF(B45=" "," ",ROUND(F44*E$6/E$7,2))))</f>
        <v xml:space="preserve"> </v>
      </c>
      <c r="E45" s="201" t="str">
        <f>IF(AND(B43=" ",B44=" ",B45=" ")," ",IF(B44=" ",SUM(E$13:E43),IF(B45=" "," ",E$8)))</f>
        <v xml:space="preserve"> </v>
      </c>
      <c r="F45" s="201" t="str">
        <f>IF(AND(B43=" ",B44=" ",B45=" ")," ",IF(B44=" ",SUM(F$12:F42),IF(B45=" "," ",F44-E45)))</f>
        <v xml:space="preserve"> </v>
      </c>
      <c r="G45" s="201" t="str">
        <f>IF(AND(B43=" ",B44=" ",B45=" ")," ",IF(B44=" ",SUM(G$12:G43),IF(B46=" ",IF(E$5*E$7=B45,C45-C$7+C$8+G$10," "),C45)))</f>
        <v xml:space="preserve"> </v>
      </c>
      <c r="H45" s="204" t="str">
        <f>IF(AND(B43=" ",B44=" ",B45=" ")," ",IF(B44=" ",SUM(H$13:H43)*E$7,IF(B45=" "," ",IF(B46=" ",IF(E$5*E$7=B45,IRR(G$12:G45,0.01)," ")," "))))</f>
        <v xml:space="preserve"> </v>
      </c>
      <c r="I45" s="202" t="str">
        <f t="shared" si="1"/>
        <v/>
      </c>
      <c r="J45" s="202" t="str">
        <f t="shared" si="2"/>
        <v/>
      </c>
      <c r="K45" s="55"/>
      <c r="L45" s="56"/>
      <c r="O45" s="67"/>
      <c r="P45" s="67" t="str">
        <f>IF($A46="","",IF($A47="",IF(YEAR($A46)=2003,SUM($D$12:$D46),""),IF(AND(YEAR($A46)=2003,YEAR($A47)=2004),SUM($D$12:$D46,$D47*(P$8-$A46)/($A47-$A46)),"")))</f>
        <v/>
      </c>
      <c r="Q45" s="67" t="str">
        <f>IF(A46="","",IF(A47="",IF(YEAR(A46)=2004,SUM(D$12:D46),""),IF(AND(YEAR(A46)=2004,YEAR(A47)=2005),SUM(D$12:D46,D47*(Q$8-A46)/(A47-A46)),"")))</f>
        <v/>
      </c>
      <c r="R45" s="67" t="str">
        <f>IF(A46="","",IF(A47="",IF(YEAR(A46)=2005,SUM(D$12:D46),""),IF(AND(YEAR(A46)=2005,YEAR(A47)=2006),SUM(D$12:D46,D47*(R$8-A46)/(A47-A46)),"")))</f>
        <v/>
      </c>
      <c r="S45" s="67" t="str">
        <f>IF(A46="","",IF(A47="",IF(YEAR(A46)=2006,SUM(D$12:D46),""),IF(AND(YEAR(A46)=2006,YEAR(A47)=2007),SUM(D$12:D46,D47*(S$8-A46)/(A47-A46)),"")))</f>
        <v/>
      </c>
      <c r="T45" s="67" t="str">
        <f>IF(A46="","",IF(A47="",IF(YEAR(A46)=2007,SUM(D$12:D46),""),IF(AND(YEAR(A46)=2007,YEAR(A47)=2008),SUM(D$12:D46,D47*(T$8-A46)/(A47-A46)),"")))</f>
        <v/>
      </c>
      <c r="U45" s="67" t="str">
        <f>IF(A46="","",IF(A47="",IF(YEAR(A46)=2008,SUM(D$12:D46),""),IF(AND(YEAR(A46)=2008,YEAR(A47)=2009),SUM(D$12:D46,D47*(U$8-A46)/(A47-A46)),"")))</f>
        <v/>
      </c>
      <c r="V45" s="67" t="str">
        <f>IF(A46="","",IF(A47="",IF(YEAR(A46)=2009,SUM(D$12:D46),""),IF(AND(YEAR(A46)=2009,YEAR(A47)=2010),SUM(D$12:D46,D47*(V$8-A46)/(A47-A46)),"")))</f>
        <v/>
      </c>
      <c r="W45" s="67" t="str">
        <f>IF(A46="","",IF(A47="",IF(YEAR(A46)=2010,SUM(D$12:D46),""),IF(AND(YEAR(A46)=2010,YEAR(A47)=2011),SUM(D$12:D46,D47*(W$8-A46)/(A47-A46)),"")))</f>
        <v/>
      </c>
      <c r="X45" s="67" t="str">
        <f>IF(A46="","",IF(A47="",IF(YEAR(A46)=2011,SUM(D$12:D46),""),IF(AND(YEAR(A46)=2011,YEAR(A47)=2012),SUM(D$12:D46,D47*(X$8-A46)/(A47-A46)),"")))</f>
        <v/>
      </c>
      <c r="Y45" s="72" t="str">
        <f>IF(A46="","",IF(A47="",IF(YEAR(A46)=2012,SUM(D$12:D46),""),IF(AND(YEAR(A46)=2012,YEAR(A47)=2013),SUM(D$12:D46,D47*(Y$8-A46)/(A47-A46)),"")))</f>
        <v/>
      </c>
      <c r="Z45" s="67" t="str">
        <f>IF($A46="","",IF($A47="",IF(YEAR($A46)=2002,SUM($J$12:$J46),""),IF(AND(YEAR($A46)=2002,YEAR($A47)=2003),SUM($J$12:$J46,$J47*(O$8-$A46)/($A47-$A46)),"")))</f>
        <v/>
      </c>
      <c r="AA45" s="67" t="str">
        <f>IF($A46="","",IF($A47="",IF(YEAR($A46)=2003,SUM($J$12:$J46),""),IF(AND(YEAR($A46)=2003,YEAR($A47)=2004),SUM($J$12:$J46,$J47*(P$8-$A46)/($A47-$A46)),"")))</f>
        <v/>
      </c>
      <c r="AB45" s="67" t="str">
        <f>IF($A46="","",IF($A47="",IF(YEAR($A46)=2004,SUM($J$12:$J46),""),IF(AND(YEAR($A46)=2004,YEAR($A47)=2005),SUM($J$12:$J46,$J47*(Q$8-$A46)/($A47-$A46)),"")))</f>
        <v/>
      </c>
      <c r="AC45" s="67" t="str">
        <f>IF($A46="","",IF($A47="",IF(YEAR($A46)=2005,SUM($J$12:$J46),""),IF(AND(YEAR($A46)=2005,YEAR($A47)=2006),SUM($J$12:$J46,$J47*(R$8-$A46)/($A47-$A46)),"")))</f>
        <v/>
      </c>
      <c r="AD45" s="67" t="str">
        <f>IF($A46="","",IF($A47="",IF(YEAR($A46)=2006,SUM($J$12:$J46),""),IF(AND(YEAR($A46)=2006,YEAR($A47)=2007),SUM($J$12:$J46,$J47*(S$8-$A46)/($A47-$A46)),"")))</f>
        <v/>
      </c>
      <c r="AE45" s="67" t="str">
        <f>IF($A46="","",IF($A47="",IF(YEAR($A46)=2007,SUM($J$12:$J46),""),IF(AND(YEAR($A46)=2007,YEAR($A47)=2008),SUM($J$12:$J46,$J47*(T$8-$A46)/($A47-$A46)),"")))</f>
        <v/>
      </c>
      <c r="AF45" s="67" t="str">
        <f>IF($A46="","",IF($A47="",IF(YEAR($A46)=2008,SUM($J$12:$J46),""),IF(AND(YEAR($A46)=2008,YEAR($A47)=2009),SUM($J$12:$J46,$J47*(U$8-$A46)/($A47-$A46)),"")))</f>
        <v/>
      </c>
      <c r="AG45" s="67" t="str">
        <f>IF($A46="","",IF($A47="",IF(YEAR($A46)=2009,SUM($J$12:$J46),""),IF(AND(YEAR($A46)=2009,YEAR($A47)=2010),SUM($J$12:$J46,$J47*(V$8-$A46)/($A47-$A46)),"")))</f>
        <v/>
      </c>
      <c r="AH45" s="67" t="str">
        <f>IF($A46="","",IF($A47="",IF(YEAR($A46)=2010,SUM($J$12:$J46),""),IF(AND(YEAR($A46)=2010,YEAR($A47)=2011),SUM($J$12:$J46,$J47*(W$8-$A46)/($A47-$A46)),"")))</f>
        <v/>
      </c>
      <c r="AI45" s="67" t="str">
        <f>IF($A46="","",IF($A47="",IF(YEAR($A46)=2011,SUM($J$12:$J46),""),IF(AND(YEAR($A46)=2011,YEAR($A47)=2012),SUM($J$12:$J46,$J47*(X$8-$A46)/($A47-$A46)),"")))</f>
        <v/>
      </c>
      <c r="AJ45" s="67" t="str">
        <f>IF($A46="","",IF($A47="",IF(YEAR($A46)=2012,SUM($J$12:$J46),""),IF(AND(YEAR($A46)=2012,YEAR($A47)=2013),SUM($J$12:$J46,$J47*(Y$8-$A46)/($A47-$A46)),"")))</f>
        <v/>
      </c>
    </row>
    <row r="46" spans="1:36" x14ac:dyDescent="0.2">
      <c r="A46" s="309" t="str">
        <f t="shared" si="0"/>
        <v/>
      </c>
      <c r="B46" s="203" t="str">
        <f>IF($E$5*$E$7&lt;34," ",34)</f>
        <v xml:space="preserve"> </v>
      </c>
      <c r="C46" s="201" t="str">
        <f>IF(AND(B44=" ",B45=" ",B46=" ")," ",IF(B45=" ",SUM(C$13:C44),IF(B46=" "," ",D46+E46)))</f>
        <v xml:space="preserve"> </v>
      </c>
      <c r="D46" s="201" t="str">
        <f>IF(AND(B44=" ",B45=" ",B46=" ")," ",IF(B45=" ",SUM(D$13:D44),IF(B46=" "," ",ROUND(F45*E$6/E$7,2))))</f>
        <v xml:space="preserve"> </v>
      </c>
      <c r="E46" s="201" t="str">
        <f>IF(AND(B44=" ",B45=" ",B46=" ")," ",IF(B45=" ",SUM(E$13:E44),IF(B46=" "," ",E$8)))</f>
        <v xml:space="preserve"> </v>
      </c>
      <c r="F46" s="201" t="str">
        <f>IF(AND(B44=" ",B45=" ",B46=" ")," ",IF(B45=" ",SUM(F$12:F43),IF(B46=" "," ",F45-E46)))</f>
        <v xml:space="preserve"> </v>
      </c>
      <c r="G46" s="201" t="str">
        <f>IF(AND(B44=" ",B45=" ",B46=" ")," ",IF(B45=" ",SUM(G$12:G44),IF(B47=" ",IF(E$5*E$7=B46,C46-C$7+C$8+G$10," "),C46)))</f>
        <v xml:space="preserve"> </v>
      </c>
      <c r="H46" s="204" t="str">
        <f>IF(AND(B44=" ",B45=" ",B46=" ")," ",IF(B45=" ",SUM(H$13:H44)*E$7,IF(B46=" "," ",IF(B47=" ",IF(E$5*E$7=B46,IRR(G$12:G46,0.01)," ")," "))))</f>
        <v xml:space="preserve"> </v>
      </c>
      <c r="I46" s="202" t="str">
        <f t="shared" si="1"/>
        <v/>
      </c>
      <c r="J46" s="202" t="str">
        <f t="shared" si="2"/>
        <v/>
      </c>
      <c r="K46" s="55"/>
      <c r="L46" s="56"/>
      <c r="O46" s="67"/>
      <c r="P46" s="67" t="str">
        <f>IF($A47="","",IF($A48="",IF(YEAR($A47)=2003,SUM($D$12:$D47),""),IF(AND(YEAR($A47)=2003,YEAR($A48)=2004),SUM($D$12:$D47,$D48*(P$8-$A47)/($A48-$A47)),"")))</f>
        <v/>
      </c>
      <c r="Q46" s="67" t="str">
        <f>IF(A47="","",IF(A48="",IF(YEAR(A47)=2004,SUM(D$12:D47),""),IF(AND(YEAR(A47)=2004,YEAR(A48)=2005),SUM(D$12:D47,D48*(Q$8-A47)/(A48-A47)),"")))</f>
        <v/>
      </c>
      <c r="R46" s="67" t="str">
        <f>IF(A47="","",IF(A48="",IF(YEAR(A47)=2005,SUM(D$12:D47),""),IF(AND(YEAR(A47)=2005,YEAR(A48)=2006),SUM(D$12:D47,D48*(R$8-A47)/(A48-A47)),"")))</f>
        <v/>
      </c>
      <c r="S46" s="67" t="str">
        <f>IF(A47="","",IF(A48="",IF(YEAR(A47)=2006,SUM(D$12:D47),""),IF(AND(YEAR(A47)=2006,YEAR(A48)=2007),SUM(D$12:D47,D48*(S$8-A47)/(A48-A47)),"")))</f>
        <v/>
      </c>
      <c r="T46" s="67" t="str">
        <f>IF(A47="","",IF(A48="",IF(YEAR(A47)=2007,SUM(D$12:D47),""),IF(AND(YEAR(A47)=2007,YEAR(A48)=2008),SUM(D$12:D47,D48*(T$8-A47)/(A48-A47)),"")))</f>
        <v/>
      </c>
      <c r="U46" s="67" t="str">
        <f>IF(A47="","",IF(A48="",IF(YEAR(A47)=2008,SUM(D$12:D47),""),IF(AND(YEAR(A47)=2008,YEAR(A48)=2009),SUM(D$12:D47,D48*(U$8-A47)/(A48-A47)),"")))</f>
        <v/>
      </c>
      <c r="V46" s="67" t="str">
        <f>IF(A47="","",IF(A48="",IF(YEAR(A47)=2009,SUM(D$12:D47),""),IF(AND(YEAR(A47)=2009,YEAR(A48)=2010),SUM(D$12:D47,D48*(V$8-A47)/(A48-A47)),"")))</f>
        <v/>
      </c>
      <c r="W46" s="67" t="str">
        <f>IF(A47="","",IF(A48="",IF(YEAR(A47)=2010,SUM(D$12:D47),""),IF(AND(YEAR(A47)=2010,YEAR(A48)=2011),SUM(D$12:D47,D48*(W$8-A47)/(A48-A47)),"")))</f>
        <v/>
      </c>
      <c r="X46" s="67" t="str">
        <f>IF(A47="","",IF(A48="",IF(YEAR(A47)=2011,SUM(D$12:D47),""),IF(AND(YEAR(A47)=2011,YEAR(A48)=2012),SUM(D$12:D47,D48*(X$8-A47)/(A48-A47)),"")))</f>
        <v/>
      </c>
      <c r="Y46" s="72" t="str">
        <f>IF(A47="","",IF(A48="",IF(YEAR(A47)=2012,SUM(D$12:D47),""),IF(AND(YEAR(A47)=2012,YEAR(A48)=2013),SUM(D$12:D47,D48*(Y$8-A47)/(A48-A47)),"")))</f>
        <v/>
      </c>
      <c r="Z46" s="67" t="str">
        <f>IF($A47="","",IF($A48="",IF(YEAR($A47)=2002,SUM($J$12:$J47),""),IF(AND(YEAR($A47)=2002,YEAR($A48)=2003),SUM($J$12:$J47,$J48*(O$8-$A47)/($A48-$A47)),"")))</f>
        <v/>
      </c>
      <c r="AA46" s="67" t="str">
        <f>IF($A47="","",IF($A48="",IF(YEAR($A47)=2003,SUM($J$12:$J47),""),IF(AND(YEAR($A47)=2003,YEAR($A48)=2004),SUM($J$12:$J47,$J48*(P$8-$A47)/($A48-$A47)),"")))</f>
        <v/>
      </c>
      <c r="AB46" s="67" t="str">
        <f>IF($A47="","",IF($A48="",IF(YEAR($A47)=2004,SUM($J$12:$J47),""),IF(AND(YEAR($A47)=2004,YEAR($A48)=2005),SUM($J$12:$J47,$J48*(Q$8-$A47)/($A48-$A47)),"")))</f>
        <v/>
      </c>
      <c r="AC46" s="67" t="str">
        <f>IF($A47="","",IF($A48="",IF(YEAR($A47)=2005,SUM($J$12:$J47),""),IF(AND(YEAR($A47)=2005,YEAR($A48)=2006),SUM($J$12:$J47,$J48*(R$8-$A47)/($A48-$A47)),"")))</f>
        <v/>
      </c>
      <c r="AD46" s="67" t="str">
        <f>IF($A47="","",IF($A48="",IF(YEAR($A47)=2006,SUM($J$12:$J47),""),IF(AND(YEAR($A47)=2006,YEAR($A48)=2007),SUM($J$12:$J47,$J48*(S$8-$A47)/($A48-$A47)),"")))</f>
        <v/>
      </c>
      <c r="AE46" s="67" t="str">
        <f>IF($A47="","",IF($A48="",IF(YEAR($A47)=2007,SUM($J$12:$J47),""),IF(AND(YEAR($A47)=2007,YEAR($A48)=2008),SUM($J$12:$J47,$J48*(T$8-$A47)/($A48-$A47)),"")))</f>
        <v/>
      </c>
      <c r="AF46" s="67" t="str">
        <f>IF($A47="","",IF($A48="",IF(YEAR($A47)=2008,SUM($J$12:$J47),""),IF(AND(YEAR($A47)=2008,YEAR($A48)=2009),SUM($J$12:$J47,$J48*(U$8-$A47)/($A48-$A47)),"")))</f>
        <v/>
      </c>
      <c r="AG46" s="67" t="str">
        <f>IF($A47="","",IF($A48="",IF(YEAR($A47)=2009,SUM($J$12:$J47),""),IF(AND(YEAR($A47)=2009,YEAR($A48)=2010),SUM($J$12:$J47,$J48*(V$8-$A47)/($A48-$A47)),"")))</f>
        <v/>
      </c>
      <c r="AH46" s="67" t="str">
        <f>IF($A47="","",IF($A48="",IF(YEAR($A47)=2010,SUM($J$12:$J47),""),IF(AND(YEAR($A47)=2010,YEAR($A48)=2011),SUM($J$12:$J47,$J48*(W$8-$A47)/($A48-$A47)),"")))</f>
        <v/>
      </c>
      <c r="AI46" s="67" t="str">
        <f>IF($A47="","",IF($A48="",IF(YEAR($A47)=2011,SUM($J$12:$J47),""),IF(AND(YEAR($A47)=2011,YEAR($A48)=2012),SUM($J$12:$J47,$J48*(X$8-$A47)/($A48-$A47)),"")))</f>
        <v/>
      </c>
      <c r="AJ46" s="67" t="str">
        <f>IF($A47="","",IF($A48="",IF(YEAR($A47)=2012,SUM($J$12:$J47),""),IF(AND(YEAR($A47)=2012,YEAR($A48)=2013),SUM($J$12:$J47,$J48*(Y$8-$A47)/($A48-$A47)),"")))</f>
        <v/>
      </c>
    </row>
    <row r="47" spans="1:36" x14ac:dyDescent="0.2">
      <c r="A47" s="309" t="str">
        <f t="shared" si="0"/>
        <v/>
      </c>
      <c r="B47" s="203" t="str">
        <f>IF($E$5*$E$7&lt;35," ",35)</f>
        <v xml:space="preserve"> </v>
      </c>
      <c r="C47" s="201" t="str">
        <f>IF(AND(B45=" ",B46=" ",B47=" ")," ",IF(B46=" ",SUM(C$13:C45),IF(B47=" "," ",D47+E47)))</f>
        <v xml:space="preserve"> </v>
      </c>
      <c r="D47" s="201" t="str">
        <f>IF(AND(B45=" ",B46=" ",B47=" ")," ",IF(B46=" ",SUM(D$13:D45),IF(B47=" "," ",ROUND(F46*E$6/E$7,2))))</f>
        <v xml:space="preserve"> </v>
      </c>
      <c r="E47" s="201" t="str">
        <f>IF(AND(B45=" ",B46=" ",B47=" ")," ",IF(B46=" ",SUM(E$13:E45),IF(B47=" "," ",E$8)))</f>
        <v xml:space="preserve"> </v>
      </c>
      <c r="F47" s="201" t="str">
        <f>IF(AND(B45=" ",B46=" ",B47=" ")," ",IF(B46=" ",SUM(F$12:F44),IF(B47=" "," ",F46-E47)))</f>
        <v xml:space="preserve"> </v>
      </c>
      <c r="G47" s="201" t="str">
        <f>IF(AND(B45=" ",B46=" ",B47=" ")," ",IF(B46=" ",SUM(G$12:G45),IF(B48=" ",IF(E$5*E$7=B47,C47-C$7+C$8+G$10," "),C47)))</f>
        <v xml:space="preserve"> </v>
      </c>
      <c r="H47" s="204" t="str">
        <f>IF(AND(B45=" ",B46=" ",B47=" ")," ",IF(B46=" ",SUM(H$13:H45)*E$7,IF(B47=" "," ",IF(B48=" ",IF(E$5*E$7=B47,IRR(G$12:G47,0.01)," ")," "))))</f>
        <v xml:space="preserve"> </v>
      </c>
      <c r="I47" s="202" t="str">
        <f t="shared" si="1"/>
        <v/>
      </c>
      <c r="J47" s="202" t="str">
        <f t="shared" si="2"/>
        <v/>
      </c>
      <c r="K47" s="55"/>
      <c r="L47" s="56"/>
      <c r="O47" s="67"/>
      <c r="P47" s="67" t="str">
        <f>IF($A48="","",IF($A49="",IF(YEAR($A48)=2003,SUM($D$12:$D48),""),IF(AND(YEAR($A48)=2003,YEAR($A49)=2004),SUM($D$12:$D48,$D49*(P$8-$A48)/($A49-$A48)),"")))</f>
        <v/>
      </c>
      <c r="Q47" s="67" t="str">
        <f>IF(A48="","",IF(A49="",IF(YEAR(A48)=2004,SUM(D$12:D48),""),IF(AND(YEAR(A48)=2004,YEAR(A49)=2005),SUM(D$12:D48,D49*(Q$8-A48)/(A49-A48)),"")))</f>
        <v/>
      </c>
      <c r="R47" s="67" t="str">
        <f>IF(A48="","",IF(A49="",IF(YEAR(A48)=2005,SUM(D$12:D48),""),IF(AND(YEAR(A48)=2005,YEAR(A49)=2006),SUM(D$12:D48,D49*(R$8-A48)/(A49-A48)),"")))</f>
        <v/>
      </c>
      <c r="S47" s="67" t="str">
        <f>IF(A48="","",IF(A49="",IF(YEAR(A48)=2006,SUM(D$12:D48),""),IF(AND(YEAR(A48)=2006,YEAR(A49)=2007),SUM(D$12:D48,D49*(S$8-A48)/(A49-A48)),"")))</f>
        <v/>
      </c>
      <c r="T47" s="67" t="str">
        <f>IF(A48="","",IF(A49="",IF(YEAR(A48)=2007,SUM(D$12:D48),""),IF(AND(YEAR(A48)=2007,YEAR(A49)=2008),SUM(D$12:D48,D49*(T$8-A48)/(A49-A48)),"")))</f>
        <v/>
      </c>
      <c r="U47" s="67" t="str">
        <f>IF(A48="","",IF(A49="",IF(YEAR(A48)=2008,SUM(D$12:D48),""),IF(AND(YEAR(A48)=2008,YEAR(A49)=2009),SUM(D$12:D48,D49*(U$8-A48)/(A49-A48)),"")))</f>
        <v/>
      </c>
      <c r="V47" s="67" t="str">
        <f>IF(A48="","",IF(A49="",IF(YEAR(A48)=2009,SUM(D$12:D48),""),IF(AND(YEAR(A48)=2009,YEAR(A49)=2010),SUM(D$12:D48,D49*(V$8-A48)/(A49-A48)),"")))</f>
        <v/>
      </c>
      <c r="W47" s="67" t="str">
        <f>IF(A48="","",IF(A49="",IF(YEAR(A48)=2010,SUM(D$12:D48),""),IF(AND(YEAR(A48)=2010,YEAR(A49)=2011),SUM(D$12:D48,D49*(W$8-A48)/(A49-A48)),"")))</f>
        <v/>
      </c>
      <c r="X47" s="67" t="str">
        <f>IF(A48="","",IF(A49="",IF(YEAR(A48)=2011,SUM(D$12:D48),""),IF(AND(YEAR(A48)=2011,YEAR(A49)=2012),SUM(D$12:D48,D49*(X$8-A48)/(A49-A48)),"")))</f>
        <v/>
      </c>
      <c r="Y47" s="72" t="str">
        <f>IF(A48="","",IF(A49="",IF(YEAR(A48)=2012,SUM(D$12:D48),""),IF(AND(YEAR(A48)=2012,YEAR(A49)=2013),SUM(D$12:D48,D49*(Y$8-A48)/(A49-A48)),"")))</f>
        <v/>
      </c>
      <c r="Z47" s="67" t="str">
        <f>IF($A48="","",IF($A49="",IF(YEAR($A48)=2002,SUM($J$12:$J48),""),IF(AND(YEAR($A48)=2002,YEAR($A49)=2003),SUM($J$12:$J48,$J49*(O$8-$A48)/($A49-$A48)),"")))</f>
        <v/>
      </c>
      <c r="AA47" s="67" t="str">
        <f>IF($A48="","",IF($A49="",IF(YEAR($A48)=2003,SUM($J$12:$J48),""),IF(AND(YEAR($A48)=2003,YEAR($A49)=2004),SUM($J$12:$J48,$J49*(P$8-$A48)/($A49-$A48)),"")))</f>
        <v/>
      </c>
      <c r="AB47" s="67" t="str">
        <f>IF($A48="","",IF($A49="",IF(YEAR($A48)=2004,SUM($J$12:$J48),""),IF(AND(YEAR($A48)=2004,YEAR($A49)=2005),SUM($J$12:$J48,$J49*(Q$8-$A48)/($A49-$A48)),"")))</f>
        <v/>
      </c>
      <c r="AC47" s="67" t="str">
        <f>IF($A48="","",IF($A49="",IF(YEAR($A48)=2005,SUM($J$12:$J48),""),IF(AND(YEAR($A48)=2005,YEAR($A49)=2006),SUM($J$12:$J48,$J49*(R$8-$A48)/($A49-$A48)),"")))</f>
        <v/>
      </c>
      <c r="AD47" s="67" t="str">
        <f>IF($A48="","",IF($A49="",IF(YEAR($A48)=2006,SUM($J$12:$J48),""),IF(AND(YEAR($A48)=2006,YEAR($A49)=2007),SUM($J$12:$J48,$J49*(S$8-$A48)/($A49-$A48)),"")))</f>
        <v/>
      </c>
      <c r="AE47" s="67" t="str">
        <f>IF($A48="","",IF($A49="",IF(YEAR($A48)=2007,SUM($J$12:$J48),""),IF(AND(YEAR($A48)=2007,YEAR($A49)=2008),SUM($J$12:$J48,$J49*(T$8-$A48)/($A49-$A48)),"")))</f>
        <v/>
      </c>
      <c r="AF47" s="67" t="str">
        <f>IF($A48="","",IF($A49="",IF(YEAR($A48)=2008,SUM($J$12:$J48),""),IF(AND(YEAR($A48)=2008,YEAR($A49)=2009),SUM($J$12:$J48,$J49*(U$8-$A48)/($A49-$A48)),"")))</f>
        <v/>
      </c>
      <c r="AG47" s="67" t="str">
        <f>IF($A48="","",IF($A49="",IF(YEAR($A48)=2009,SUM($J$12:$J48),""),IF(AND(YEAR($A48)=2009,YEAR($A49)=2010),SUM($J$12:$J48,$J49*(V$8-$A48)/($A49-$A48)),"")))</f>
        <v/>
      </c>
      <c r="AH47" s="67" t="str">
        <f>IF($A48="","",IF($A49="",IF(YEAR($A48)=2010,SUM($J$12:$J48),""),IF(AND(YEAR($A48)=2010,YEAR($A49)=2011),SUM($J$12:$J48,$J49*(W$8-$A48)/($A49-$A48)),"")))</f>
        <v/>
      </c>
      <c r="AI47" s="67" t="str">
        <f>IF($A48="","",IF($A49="",IF(YEAR($A48)=2011,SUM($J$12:$J48),""),IF(AND(YEAR($A48)=2011,YEAR($A49)=2012),SUM($J$12:$J48,$J49*(X$8-$A48)/($A49-$A48)),"")))</f>
        <v/>
      </c>
      <c r="AJ47" s="67" t="str">
        <f>IF($A48="","",IF($A49="",IF(YEAR($A48)=2012,SUM($J$12:$J48),""),IF(AND(YEAR($A48)=2012,YEAR($A49)=2013),SUM($J$12:$J48,$J49*(Y$8-$A48)/($A49-$A48)),"")))</f>
        <v/>
      </c>
    </row>
    <row r="48" spans="1:36" x14ac:dyDescent="0.2">
      <c r="A48" s="309" t="str">
        <f t="shared" si="0"/>
        <v/>
      </c>
      <c r="B48" s="203" t="str">
        <f>IF($E$5*$E$7&lt;36," ",36)</f>
        <v xml:space="preserve"> </v>
      </c>
      <c r="C48" s="201" t="str">
        <f>IF(AND(B46=" ",B47=" ",B48=" ")," ",IF(B47=" ",SUM(C$13:C46),IF(B48=" "," ",D48+E48)))</f>
        <v xml:space="preserve"> </v>
      </c>
      <c r="D48" s="201" t="str">
        <f>IF(AND(B46=" ",B47=" ",B48=" ")," ",IF(B47=" ",SUM(D$13:D46),IF(B48=" "," ",ROUND(F47*E$6/E$7,2))))</f>
        <v xml:space="preserve"> </v>
      </c>
      <c r="E48" s="201" t="str">
        <f>IF(AND(B46=" ",B47=" ",B48=" ")," ",IF(B47=" ",SUM(E$13:E46),IF(B48=" "," ",E$8)))</f>
        <v xml:space="preserve"> </v>
      </c>
      <c r="F48" s="201" t="str">
        <f>IF(AND(B46=" ",B47=" ",B48=" ")," ",IF(B47=" ",SUM(F$12:F45),IF(B48=" "," ",F47-E48)))</f>
        <v xml:space="preserve"> </v>
      </c>
      <c r="G48" s="201" t="str">
        <f>IF(AND(B46=" ",B47=" ",B48=" ")," ",IF(B47=" ",SUM(G$12:G46),IF(B49=" ",IF(E$5*E$7=B48,C48-C$7+C$8+G$10," "),C48)))</f>
        <v xml:space="preserve"> </v>
      </c>
      <c r="H48" s="204" t="str">
        <f>IF(AND(B46=" ",B47=" ",B48=" ")," ",IF(B47=" ",SUM(H$13:H46)*E$7,IF(B48=" "," ",IF(B49=" ",IF(E$5*E$7=B48,IRR(G$12:G48,0.01)," ")," "))))</f>
        <v xml:space="preserve"> </v>
      </c>
      <c r="I48" s="202" t="str">
        <f t="shared" si="1"/>
        <v/>
      </c>
      <c r="J48" s="202" t="str">
        <f t="shared" si="2"/>
        <v/>
      </c>
      <c r="K48" s="55"/>
      <c r="L48" s="56"/>
      <c r="O48" s="67"/>
      <c r="P48" s="67" t="str">
        <f>IF($A49="","",IF($A50="",IF(YEAR($A49)=2003,SUM($D$12:$D49),""),IF(AND(YEAR($A49)=2003,YEAR($A50)=2004),SUM($D$12:$D49,$D50*(P$8-$A49)/($A50-$A49)),"")))</f>
        <v/>
      </c>
      <c r="Q48" s="67" t="str">
        <f>IF(A49="","",IF(A50="",IF(YEAR(A49)=2004,SUM(D$12:D49),""),IF(AND(YEAR(A49)=2004,YEAR(A50)=2005),SUM(D$12:D49,D50*(Q$8-A49)/(A50-A49)),"")))</f>
        <v/>
      </c>
      <c r="R48" s="67" t="str">
        <f>IF(A49="","",IF(A50="",IF(YEAR(A49)=2005,SUM(D$12:D49),""),IF(AND(YEAR(A49)=2005,YEAR(A50)=2006),SUM(D$12:D49,D50*(R$8-A49)/(A50-A49)),"")))</f>
        <v/>
      </c>
      <c r="S48" s="67" t="str">
        <f>IF(A49="","",IF(A50="",IF(YEAR(A49)=2006,SUM(D$12:D49),""),IF(AND(YEAR(A49)=2006,YEAR(A50)=2007),SUM(D$12:D49,D50*(S$8-A49)/(A50-A49)),"")))</f>
        <v/>
      </c>
      <c r="T48" s="67" t="str">
        <f>IF(A49="","",IF(A50="",IF(YEAR(A49)=2007,SUM(D$12:D49),""),IF(AND(YEAR(A49)=2007,YEAR(A50)=2008),SUM(D$12:D49,D50*(T$8-A49)/(A50-A49)),"")))</f>
        <v/>
      </c>
      <c r="U48" s="67" t="str">
        <f>IF(A49="","",IF(A50="",IF(YEAR(A49)=2008,SUM(D$12:D49),""),IF(AND(YEAR(A49)=2008,YEAR(A50)=2009),SUM(D$12:D49,D50*(U$8-A49)/(A50-A49)),"")))</f>
        <v/>
      </c>
      <c r="V48" s="67" t="str">
        <f>IF(A49="","",IF(A50="",IF(YEAR(A49)=2009,SUM(D$12:D49),""),IF(AND(YEAR(A49)=2009,YEAR(A50)=2010),SUM(D$12:D49,D50*(V$8-A49)/(A50-A49)),"")))</f>
        <v/>
      </c>
      <c r="W48" s="67" t="str">
        <f>IF(A49="","",IF(A50="",IF(YEAR(A49)=2010,SUM(D$12:D49),""),IF(AND(YEAR(A49)=2010,YEAR(A50)=2011),SUM(D$12:D49,D50*(W$8-A49)/(A50-A49)),"")))</f>
        <v/>
      </c>
      <c r="X48" s="67" t="str">
        <f>IF(A49="","",IF(A50="",IF(YEAR(A49)=2011,SUM(D$12:D49),""),IF(AND(YEAR(A49)=2011,YEAR(A50)=2012),SUM(D$12:D49,D50*(X$8-A49)/(A50-A49)),"")))</f>
        <v/>
      </c>
      <c r="Y48" s="72" t="str">
        <f>IF(A49="","",IF(A50="",IF(YEAR(A49)=2012,SUM(D$12:D49),""),IF(AND(YEAR(A49)=2012,YEAR(A50)=2013),SUM(D$12:D49,D50*(Y$8-A49)/(A50-A49)),"")))</f>
        <v/>
      </c>
      <c r="Z48" s="67" t="str">
        <f>IF($A49="","",IF($A50="",IF(YEAR($A49)=2002,SUM($J$12:$J49),""),IF(AND(YEAR($A49)=2002,YEAR($A50)=2003),SUM($J$12:$J49,$J50*(O$8-$A49)/($A50-$A49)),"")))</f>
        <v/>
      </c>
      <c r="AA48" s="67" t="str">
        <f>IF($A49="","",IF($A50="",IF(YEAR($A49)=2003,SUM($J$12:$J49),""),IF(AND(YEAR($A49)=2003,YEAR($A50)=2004),SUM($J$12:$J49,$J50*(P$8-$A49)/($A50-$A49)),"")))</f>
        <v/>
      </c>
      <c r="AB48" s="67" t="str">
        <f>IF($A49="","",IF($A50="",IF(YEAR($A49)=2004,SUM($J$12:$J49),""),IF(AND(YEAR($A49)=2004,YEAR($A50)=2005),SUM($J$12:$J49,$J50*(Q$8-$A49)/($A50-$A49)),"")))</f>
        <v/>
      </c>
      <c r="AC48" s="67" t="str">
        <f>IF($A49="","",IF($A50="",IF(YEAR($A49)=2005,SUM($J$12:$J49),""),IF(AND(YEAR($A49)=2005,YEAR($A50)=2006),SUM($J$12:$J49,$J50*(R$8-$A49)/($A50-$A49)),"")))</f>
        <v/>
      </c>
      <c r="AD48" s="67" t="str">
        <f>IF($A49="","",IF($A50="",IF(YEAR($A49)=2006,SUM($J$12:$J49),""),IF(AND(YEAR($A49)=2006,YEAR($A50)=2007),SUM($J$12:$J49,$J50*(S$8-$A49)/($A50-$A49)),"")))</f>
        <v/>
      </c>
      <c r="AE48" s="67" t="str">
        <f>IF($A49="","",IF($A50="",IF(YEAR($A49)=2007,SUM($J$12:$J49),""),IF(AND(YEAR($A49)=2007,YEAR($A50)=2008),SUM($J$12:$J49,$J50*(T$8-$A49)/($A50-$A49)),"")))</f>
        <v/>
      </c>
      <c r="AF48" s="67" t="str">
        <f>IF($A49="","",IF($A50="",IF(YEAR($A49)=2008,SUM($J$12:$J49),""),IF(AND(YEAR($A49)=2008,YEAR($A50)=2009),SUM($J$12:$J49,$J50*(U$8-$A49)/($A50-$A49)),"")))</f>
        <v/>
      </c>
      <c r="AG48" s="67" t="str">
        <f>IF($A49="","",IF($A50="",IF(YEAR($A49)=2009,SUM($J$12:$J49),""),IF(AND(YEAR($A49)=2009,YEAR($A50)=2010),SUM($J$12:$J49,$J50*(V$8-$A49)/($A50-$A49)),"")))</f>
        <v/>
      </c>
      <c r="AH48" s="67" t="str">
        <f>IF($A49="","",IF($A50="",IF(YEAR($A49)=2010,SUM($J$12:$J49),""),IF(AND(YEAR($A49)=2010,YEAR($A50)=2011),SUM($J$12:$J49,$J50*(W$8-$A49)/($A50-$A49)),"")))</f>
        <v/>
      </c>
      <c r="AI48" s="67" t="str">
        <f>IF($A49="","",IF($A50="",IF(YEAR($A49)=2011,SUM($J$12:$J49),""),IF(AND(YEAR($A49)=2011,YEAR($A50)=2012),SUM($J$12:$J49,$J50*(X$8-$A49)/($A50-$A49)),"")))</f>
        <v/>
      </c>
      <c r="AJ48" s="67" t="str">
        <f>IF($A49="","",IF($A50="",IF(YEAR($A49)=2012,SUM($J$12:$J49),""),IF(AND(YEAR($A49)=2012,YEAR($A50)=2013),SUM($J$12:$J49,$J50*(Y$8-$A49)/($A50-$A49)),"")))</f>
        <v/>
      </c>
    </row>
    <row r="49" spans="1:36" x14ac:dyDescent="0.2">
      <c r="A49" s="309" t="str">
        <f t="shared" si="0"/>
        <v/>
      </c>
      <c r="B49" s="203" t="str">
        <f>IF($E$5*$E$7&lt;37," ",37)</f>
        <v xml:space="preserve"> </v>
      </c>
      <c r="C49" s="201" t="str">
        <f>IF(AND(B47=" ",B48=" ",B49=" ")," ",IF(B48=" ",SUM(C$13:C47),IF(B49=" "," ",D49+E49)))</f>
        <v xml:space="preserve"> </v>
      </c>
      <c r="D49" s="201" t="str">
        <f>IF(AND(B47=" ",B48=" ",B49=" ")," ",IF(B48=" ",SUM(D$13:D47),IF(B49=" "," ",ROUND(F48*E$6/E$7,2))))</f>
        <v xml:space="preserve"> </v>
      </c>
      <c r="E49" s="201" t="str">
        <f>IF(AND(B47=" ",B48=" ",B49=" ")," ",IF(B48=" ",SUM(E$13:E47),IF(B49=" "," ",E$8)))</f>
        <v xml:space="preserve"> </v>
      </c>
      <c r="F49" s="201" t="str">
        <f>IF(AND(B47=" ",B48=" ",B49=" ")," ",IF(B48=" ",SUM(F$12:F46),IF(B49=" "," ",F48-E49)))</f>
        <v xml:space="preserve"> </v>
      </c>
      <c r="G49" s="201" t="str">
        <f>IF(AND(B47=" ",B48=" ",B49=" ")," ",IF(B48=" ",SUM(G$12:G47),IF(B50=" ",IF(E$5*E$7=B49,C49-C$7+C$8+G$10," "),C49)))</f>
        <v xml:space="preserve"> </v>
      </c>
      <c r="H49" s="204" t="str">
        <f>IF(AND(B47=" ",B48=" ",B49=" ")," ",IF(B48=" ",SUM(H$13:H47)*E$7,IF(B49=" "," ",IF(B50=" ",IF(E$5*E$7=B49,IRR(G$12:G49,0.01)," ")," "))))</f>
        <v xml:space="preserve"> </v>
      </c>
      <c r="I49" s="202" t="str">
        <f t="shared" si="1"/>
        <v/>
      </c>
      <c r="J49" s="202" t="str">
        <f t="shared" si="2"/>
        <v/>
      </c>
      <c r="K49" s="55"/>
      <c r="L49" s="56"/>
      <c r="O49" s="67"/>
      <c r="P49" s="67" t="str">
        <f>IF($A50="","",IF($A51="",IF(YEAR($A50)=2003,SUM($D$12:$D50),""),IF(AND(YEAR($A50)=2003,YEAR($A51)=2004),SUM($D$12:$D50,$D51*(P$8-$A50)/($A51-$A50)),"")))</f>
        <v/>
      </c>
      <c r="Q49" s="67" t="str">
        <f>IF(A50="","",IF(A51="",IF(YEAR(A50)=2004,SUM(D$12:D50),""),IF(AND(YEAR(A50)=2004,YEAR(A51)=2005),SUM(D$12:D50,D51*(Q$8-A50)/(A51-A50)),"")))</f>
        <v/>
      </c>
      <c r="R49" s="67" t="str">
        <f>IF(A50="","",IF(A51="",IF(YEAR(A50)=2005,SUM(D$12:D50),""),IF(AND(YEAR(A50)=2005,YEAR(A51)=2006),SUM(D$12:D50,D51*(R$8-A50)/(A51-A50)),"")))</f>
        <v/>
      </c>
      <c r="S49" s="67" t="str">
        <f>IF(A50="","",IF(A51="",IF(YEAR(A50)=2006,SUM(D$12:D50),""),IF(AND(YEAR(A50)=2006,YEAR(A51)=2007),SUM(D$12:D50,D51*(S$8-A50)/(A51-A50)),"")))</f>
        <v/>
      </c>
      <c r="T49" s="67" t="str">
        <f>IF(A50="","",IF(A51="",IF(YEAR(A50)=2007,SUM(D$12:D50),""),IF(AND(YEAR(A50)=2007,YEAR(A51)=2008),SUM(D$12:D50,D51*(T$8-A50)/(A51-A50)),"")))</f>
        <v/>
      </c>
      <c r="U49" s="67" t="str">
        <f>IF(A50="","",IF(A51="",IF(YEAR(A50)=2008,SUM(D$12:D50),""),IF(AND(YEAR(A50)=2008,YEAR(A51)=2009),SUM(D$12:D50,D51*(U$8-A50)/(A51-A50)),"")))</f>
        <v/>
      </c>
      <c r="V49" s="67" t="str">
        <f>IF(A50="","",IF(A51="",IF(YEAR(A50)=2009,SUM(D$12:D50),""),IF(AND(YEAR(A50)=2009,YEAR(A51)=2010),SUM(D$12:D50,D51*(V$8-A50)/(A51-A50)),"")))</f>
        <v/>
      </c>
      <c r="W49" s="67" t="str">
        <f>IF(A50="","",IF(A51="",IF(YEAR(A50)=2010,SUM(D$12:D50),""),IF(AND(YEAR(A50)=2010,YEAR(A51)=2011),SUM(D$12:D50,D51*(W$8-A50)/(A51-A50)),"")))</f>
        <v/>
      </c>
      <c r="X49" s="67" t="str">
        <f>IF(A50="","",IF(A51="",IF(YEAR(A50)=2011,SUM(D$12:D50),""),IF(AND(YEAR(A50)=2011,YEAR(A51)=2012),SUM(D$12:D50,D51*(X$8-A50)/(A51-A50)),"")))</f>
        <v/>
      </c>
      <c r="Y49" s="72" t="str">
        <f>IF(A50="","",IF(A51="",IF(YEAR(A50)=2012,SUM(D$12:D50),""),IF(AND(YEAR(A50)=2012,YEAR(A51)=2013),SUM(D$12:D50,D51*(Y$8-A50)/(A51-A50)),"")))</f>
        <v/>
      </c>
      <c r="Z49" s="67" t="str">
        <f>IF($A50="","",IF($A51="",IF(YEAR($A50)=2002,SUM($J$12:$J50),""),IF(AND(YEAR($A50)=2002,YEAR($A51)=2003),SUM($J$12:$J50,$J51*(O$8-$A50)/($A51-$A50)),"")))</f>
        <v/>
      </c>
      <c r="AA49" s="67" t="str">
        <f>IF($A50="","",IF($A51="",IF(YEAR($A50)=2003,SUM($J$12:$J50),""),IF(AND(YEAR($A50)=2003,YEAR($A51)=2004),SUM($J$12:$J50,$J51*(P$8-$A50)/($A51-$A50)),"")))</f>
        <v/>
      </c>
      <c r="AB49" s="67" t="str">
        <f>IF($A50="","",IF($A51="",IF(YEAR($A50)=2004,SUM($J$12:$J50),""),IF(AND(YEAR($A50)=2004,YEAR($A51)=2005),SUM($J$12:$J50,$J51*(Q$8-$A50)/($A51-$A50)),"")))</f>
        <v/>
      </c>
      <c r="AC49" s="67" t="str">
        <f>IF($A50="","",IF($A51="",IF(YEAR($A50)=2005,SUM($J$12:$J50),""),IF(AND(YEAR($A50)=2005,YEAR($A51)=2006),SUM($J$12:$J50,$J51*(R$8-$A50)/($A51-$A50)),"")))</f>
        <v/>
      </c>
      <c r="AD49" s="67" t="str">
        <f>IF($A50="","",IF($A51="",IF(YEAR($A50)=2006,SUM($J$12:$J50),""),IF(AND(YEAR($A50)=2006,YEAR($A51)=2007),SUM($J$12:$J50,$J51*(S$8-$A50)/($A51-$A50)),"")))</f>
        <v/>
      </c>
      <c r="AE49" s="67" t="str">
        <f>IF($A50="","",IF($A51="",IF(YEAR($A50)=2007,SUM($J$12:$J50),""),IF(AND(YEAR($A50)=2007,YEAR($A51)=2008),SUM($J$12:$J50,$J51*(T$8-$A50)/($A51-$A50)),"")))</f>
        <v/>
      </c>
      <c r="AF49" s="67" t="str">
        <f>IF($A50="","",IF($A51="",IF(YEAR($A50)=2008,SUM($J$12:$J50),""),IF(AND(YEAR($A50)=2008,YEAR($A51)=2009),SUM($J$12:$J50,$J51*(U$8-$A50)/($A51-$A50)),"")))</f>
        <v/>
      </c>
      <c r="AG49" s="67" t="str">
        <f>IF($A50="","",IF($A51="",IF(YEAR($A50)=2009,SUM($J$12:$J50),""),IF(AND(YEAR($A50)=2009,YEAR($A51)=2010),SUM($J$12:$J50,$J51*(V$8-$A50)/($A51-$A50)),"")))</f>
        <v/>
      </c>
      <c r="AH49" s="67" t="str">
        <f>IF($A50="","",IF($A51="",IF(YEAR($A50)=2010,SUM($J$12:$J50),""),IF(AND(YEAR($A50)=2010,YEAR($A51)=2011),SUM($J$12:$J50,$J51*(W$8-$A50)/($A51-$A50)),"")))</f>
        <v/>
      </c>
      <c r="AI49" s="67" t="str">
        <f>IF($A50="","",IF($A51="",IF(YEAR($A50)=2011,SUM($J$12:$J50),""),IF(AND(YEAR($A50)=2011,YEAR($A51)=2012),SUM($J$12:$J50,$J51*(X$8-$A50)/($A51-$A50)),"")))</f>
        <v/>
      </c>
      <c r="AJ49" s="67" t="str">
        <f>IF($A50="","",IF($A51="",IF(YEAR($A50)=2012,SUM($J$12:$J50),""),IF(AND(YEAR($A50)=2012,YEAR($A51)=2013),SUM($J$12:$J50,$J51*(Y$8-$A50)/($A51-$A50)),"")))</f>
        <v/>
      </c>
    </row>
    <row r="50" spans="1:36" x14ac:dyDescent="0.2">
      <c r="A50" s="309" t="str">
        <f t="shared" si="0"/>
        <v/>
      </c>
      <c r="B50" s="203" t="str">
        <f>IF($E$5*$E$7&lt;38," ",38)</f>
        <v xml:space="preserve"> </v>
      </c>
      <c r="C50" s="201" t="str">
        <f>IF(AND(B48=" ",B49=" ",B50=" ")," ",IF(B49=" ",SUM(C$13:C48),IF(B50=" "," ",D50+E50)))</f>
        <v xml:space="preserve"> </v>
      </c>
      <c r="D50" s="201" t="str">
        <f>IF(AND(B48=" ",B49=" ",B50=" ")," ",IF(B49=" ",SUM(D$13:D48),IF(B50=" "," ",ROUND(F49*E$6/E$7,2))))</f>
        <v xml:space="preserve"> </v>
      </c>
      <c r="E50" s="201" t="str">
        <f>IF(AND(B48=" ",B49=" ",B50=" ")," ",IF(B49=" ",SUM(E$13:E48),IF(B50=" "," ",E$8)))</f>
        <v xml:space="preserve"> </v>
      </c>
      <c r="F50" s="201" t="str">
        <f>IF(AND(B48=" ",B49=" ",B50=" ")," ",IF(B49=" ",SUM(F$12:F47),IF(B50=" "," ",F49-E50)))</f>
        <v xml:space="preserve"> </v>
      </c>
      <c r="G50" s="201" t="str">
        <f>IF(AND(B48=" ",B49=" ",B50=" ")," ",IF(B49=" ",SUM(G$12:G48),IF(B51=" ",IF(E$5*E$7=B50,C50-C$7+C$8+G$10," "),C50)))</f>
        <v xml:space="preserve"> </v>
      </c>
      <c r="H50" s="204" t="str">
        <f>IF(AND(B48=" ",B49=" ",B50=" ")," ",IF(B49=" ",SUM(H$13:H48)*E$7,IF(B50=" "," ",IF(B51=" ",IF(E$5*E$7=B50,IRR(G$12:G50,0.01)," ")," "))))</f>
        <v xml:space="preserve"> </v>
      </c>
      <c r="I50" s="202" t="str">
        <f t="shared" si="1"/>
        <v/>
      </c>
      <c r="J50" s="202" t="str">
        <f t="shared" si="2"/>
        <v/>
      </c>
      <c r="K50" s="55"/>
      <c r="L50" s="56"/>
      <c r="O50" s="67"/>
      <c r="P50" s="67" t="str">
        <f>IF($A51="","",IF($A52="",IF(YEAR($A51)=2003,SUM($D$12:$D51),""),IF(AND(YEAR($A51)=2003,YEAR($A52)=2004),SUM($D$12:$D51,$D52*(P$8-$A51)/($A52-$A51)),"")))</f>
        <v/>
      </c>
      <c r="Q50" s="67" t="str">
        <f>IF(A51="","",IF(A52="",IF(YEAR(A51)=2004,SUM(D$12:D51),""),IF(AND(YEAR(A51)=2004,YEAR(A52)=2005),SUM(D$12:D51,D52*(Q$8-A51)/(A52-A51)),"")))</f>
        <v/>
      </c>
      <c r="R50" s="67" t="str">
        <f>IF(A51="","",IF(A52="",IF(YEAR(A51)=2005,SUM(D$12:D51),""),IF(AND(YEAR(A51)=2005,YEAR(A52)=2006),SUM(D$12:D51,D52*(R$8-A51)/(A52-A51)),"")))</f>
        <v/>
      </c>
      <c r="S50" s="67" t="str">
        <f>IF(A51="","",IF(A52="",IF(YEAR(A51)=2006,SUM(D$12:D51),""),IF(AND(YEAR(A51)=2006,YEAR(A52)=2007),SUM(D$12:D51,D52*(S$8-A51)/(A52-A51)),"")))</f>
        <v/>
      </c>
      <c r="T50" s="67" t="str">
        <f>IF(A51="","",IF(A52="",IF(YEAR(A51)=2007,SUM(D$12:D51),""),IF(AND(YEAR(A51)=2007,YEAR(A52)=2008),SUM(D$12:D51,D52*(T$8-A51)/(A52-A51)),"")))</f>
        <v/>
      </c>
      <c r="U50" s="67" t="str">
        <f>IF(A51="","",IF(A52="",IF(YEAR(A51)=2008,SUM(D$12:D51),""),IF(AND(YEAR(A51)=2008,YEAR(A52)=2009),SUM(D$12:D51,D52*(U$8-A51)/(A52-A51)),"")))</f>
        <v/>
      </c>
      <c r="V50" s="67" t="str">
        <f>IF(A51="","",IF(A52="",IF(YEAR(A51)=2009,SUM(D$12:D51),""),IF(AND(YEAR(A51)=2009,YEAR(A52)=2010),SUM(D$12:D51,D52*(V$8-A51)/(A52-A51)),"")))</f>
        <v/>
      </c>
      <c r="W50" s="67" t="str">
        <f>IF(A51="","",IF(A52="",IF(YEAR(A51)=2010,SUM(D$12:D51),""),IF(AND(YEAR(A51)=2010,YEAR(A52)=2011),SUM(D$12:D51,D52*(W$8-A51)/(A52-A51)),"")))</f>
        <v/>
      </c>
      <c r="X50" s="67" t="str">
        <f>IF(A51="","",IF(A52="",IF(YEAR(A51)=2011,SUM(D$12:D51),""),IF(AND(YEAR(A51)=2011,YEAR(A52)=2012),SUM(D$12:D51,D52*(X$8-A51)/(A52-A51)),"")))</f>
        <v/>
      </c>
      <c r="Y50" s="72" t="str">
        <f>IF(A51="","",IF(A52="",IF(YEAR(A51)=2012,SUM(D$12:D51),""),IF(AND(YEAR(A51)=2012,YEAR(A52)=2013),SUM(D$12:D51,D52*(Y$8-A51)/(A52-A51)),"")))</f>
        <v/>
      </c>
      <c r="Z50" s="67" t="str">
        <f>IF($A51="","",IF($A52="",IF(YEAR($A51)=2002,SUM($J$12:$J51),""),IF(AND(YEAR($A51)=2002,YEAR($A52)=2003),SUM($J$12:$J51,$J52*(O$8-$A51)/($A52-$A51)),"")))</f>
        <v/>
      </c>
      <c r="AA50" s="67" t="str">
        <f>IF($A51="","",IF($A52="",IF(YEAR($A51)=2003,SUM($J$12:$J51),""),IF(AND(YEAR($A51)=2003,YEAR($A52)=2004),SUM($J$12:$J51,$J52*(P$8-$A51)/($A52-$A51)),"")))</f>
        <v/>
      </c>
      <c r="AB50" s="67" t="str">
        <f>IF($A51="","",IF($A52="",IF(YEAR($A51)=2004,SUM($J$12:$J51),""),IF(AND(YEAR($A51)=2004,YEAR($A52)=2005),SUM($J$12:$J51,$J52*(Q$8-$A51)/($A52-$A51)),"")))</f>
        <v/>
      </c>
      <c r="AC50" s="67" t="str">
        <f>IF($A51="","",IF($A52="",IF(YEAR($A51)=2005,SUM($J$12:$J51),""),IF(AND(YEAR($A51)=2005,YEAR($A52)=2006),SUM($J$12:$J51,$J52*(R$8-$A51)/($A52-$A51)),"")))</f>
        <v/>
      </c>
      <c r="AD50" s="67" t="str">
        <f>IF($A51="","",IF($A52="",IF(YEAR($A51)=2006,SUM($J$12:$J51),""),IF(AND(YEAR($A51)=2006,YEAR($A52)=2007),SUM($J$12:$J51,$J52*(S$8-$A51)/($A52-$A51)),"")))</f>
        <v/>
      </c>
      <c r="AE50" s="67" t="str">
        <f>IF($A51="","",IF($A52="",IF(YEAR($A51)=2007,SUM($J$12:$J51),""),IF(AND(YEAR($A51)=2007,YEAR($A52)=2008),SUM($J$12:$J51,$J52*(T$8-$A51)/($A52-$A51)),"")))</f>
        <v/>
      </c>
      <c r="AF50" s="67" t="str">
        <f>IF($A51="","",IF($A52="",IF(YEAR($A51)=2008,SUM($J$12:$J51),""),IF(AND(YEAR($A51)=2008,YEAR($A52)=2009),SUM($J$12:$J51,$J52*(U$8-$A51)/($A52-$A51)),"")))</f>
        <v/>
      </c>
      <c r="AG50" s="67" t="str">
        <f>IF($A51="","",IF($A52="",IF(YEAR($A51)=2009,SUM($J$12:$J51),""),IF(AND(YEAR($A51)=2009,YEAR($A52)=2010),SUM($J$12:$J51,$J52*(V$8-$A51)/($A52-$A51)),"")))</f>
        <v/>
      </c>
      <c r="AH50" s="67" t="str">
        <f>IF($A51="","",IF($A52="",IF(YEAR($A51)=2010,SUM($J$12:$J51),""),IF(AND(YEAR($A51)=2010,YEAR($A52)=2011),SUM($J$12:$J51,$J52*(W$8-$A51)/($A52-$A51)),"")))</f>
        <v/>
      </c>
      <c r="AI50" s="67" t="str">
        <f>IF($A51="","",IF($A52="",IF(YEAR($A51)=2011,SUM($J$12:$J51),""),IF(AND(YEAR($A51)=2011,YEAR($A52)=2012),SUM($J$12:$J51,$J52*(X$8-$A51)/($A52-$A51)),"")))</f>
        <v/>
      </c>
      <c r="AJ50" s="67" t="str">
        <f>IF($A51="","",IF($A52="",IF(YEAR($A51)=2012,SUM($J$12:$J51),""),IF(AND(YEAR($A51)=2012,YEAR($A52)=2013),SUM($J$12:$J51,$J52*(Y$8-$A51)/($A52-$A51)),"")))</f>
        <v/>
      </c>
    </row>
    <row r="51" spans="1:36" x14ac:dyDescent="0.2">
      <c r="A51" s="309" t="str">
        <f t="shared" si="0"/>
        <v/>
      </c>
      <c r="B51" s="203" t="str">
        <f>IF($E$5*$E$7&lt;39," ",39)</f>
        <v xml:space="preserve"> </v>
      </c>
      <c r="C51" s="201" t="str">
        <f>IF(AND(B49=" ",B50=" ",B51=" ")," ",IF(B50=" ",SUM(C$13:C49),IF(B51=" "," ",D51+E51)))</f>
        <v xml:space="preserve"> </v>
      </c>
      <c r="D51" s="201" t="str">
        <f>IF(AND(B49=" ",B50=" ",B51=" ")," ",IF(B50=" ",SUM(D$13:D49),IF(B51=" "," ",ROUND(F50*E$6/E$7,2))))</f>
        <v xml:space="preserve"> </v>
      </c>
      <c r="E51" s="201" t="str">
        <f>IF(AND(B49=" ",B50=" ",B51=" ")," ",IF(B50=" ",SUM(E$13:E49),IF(B51=" "," ",E$8)))</f>
        <v xml:space="preserve"> </v>
      </c>
      <c r="F51" s="201" t="str">
        <f>IF(AND(B49=" ",B50=" ",B51=" ")," ",IF(B50=" ",SUM(F$12:F48),IF(B51=" "," ",F50-E51)))</f>
        <v xml:space="preserve"> </v>
      </c>
      <c r="G51" s="201" t="str">
        <f>IF(AND(B49=" ",B50=" ",B51=" ")," ",IF(B50=" ",SUM(G$12:G49),IF(B52=" ",IF(E$5*E$7=B51,C51-C$7+C$8+G$10," "),C51)))</f>
        <v xml:space="preserve"> </v>
      </c>
      <c r="H51" s="204" t="str">
        <f>IF(AND(B49=" ",B50=" ",B51=" ")," ",IF(B50=" ",SUM(H$13:H49)*E$7,IF(B51=" "," ",IF(B52=" ",IF(E$5*E$7=B51,IRR(G$12:G51,0.01)," ")," "))))</f>
        <v xml:space="preserve"> </v>
      </c>
      <c r="I51" s="202" t="str">
        <f t="shared" si="1"/>
        <v/>
      </c>
      <c r="J51" s="202" t="str">
        <f t="shared" si="2"/>
        <v/>
      </c>
      <c r="K51" s="55"/>
      <c r="L51" s="56"/>
      <c r="O51" s="67"/>
      <c r="P51" s="67" t="str">
        <f>IF($A52="","",IF($A53="",IF(YEAR($A52)=2003,SUM($D$12:$D52),""),IF(AND(YEAR($A52)=2003,YEAR($A53)=2004),SUM($D$12:$D52,$D53*(P$8-$A52)/($A53-$A52)),"")))</f>
        <v/>
      </c>
      <c r="Q51" s="67" t="str">
        <f>IF(A52="","",IF(A53="",IF(YEAR(A52)=2004,SUM(D$12:D52),""),IF(AND(YEAR(A52)=2004,YEAR(A53)=2005),SUM(D$12:D52,D53*(Q$8-A52)/(A53-A52)),"")))</f>
        <v/>
      </c>
      <c r="R51" s="67" t="str">
        <f>IF(A52="","",IF(A53="",IF(YEAR(A52)=2005,SUM(D$12:D52),""),IF(AND(YEAR(A52)=2005,YEAR(A53)=2006),SUM(D$12:D52,D53*(R$8-A52)/(A53-A52)),"")))</f>
        <v/>
      </c>
      <c r="S51" s="67" t="str">
        <f>IF(A52="","",IF(A53="",IF(YEAR(A52)=2006,SUM(D$12:D52),""),IF(AND(YEAR(A52)=2006,YEAR(A53)=2007),SUM(D$12:D52,D53*(S$8-A52)/(A53-A52)),"")))</f>
        <v/>
      </c>
      <c r="T51" s="67" t="str">
        <f>IF(A52="","",IF(A53="",IF(YEAR(A52)=2007,SUM(D$12:D52),""),IF(AND(YEAR(A52)=2007,YEAR(A53)=2008),SUM(D$12:D52,D53*(T$8-A52)/(A53-A52)),"")))</f>
        <v/>
      </c>
      <c r="U51" s="67" t="str">
        <f>IF(A52="","",IF(A53="",IF(YEAR(A52)=2008,SUM(D$12:D52),""),IF(AND(YEAR(A52)=2008,YEAR(A53)=2009),SUM(D$12:D52,D53*(U$8-A52)/(A53-A52)),"")))</f>
        <v/>
      </c>
      <c r="V51" s="67" t="str">
        <f>IF(A52="","",IF(A53="",IF(YEAR(A52)=2009,SUM(D$12:D52),""),IF(AND(YEAR(A52)=2009,YEAR(A53)=2010),SUM(D$12:D52,D53*(V$8-A52)/(A53-A52)),"")))</f>
        <v/>
      </c>
      <c r="W51" s="67" t="str">
        <f>IF(A52="","",IF(A53="",IF(YEAR(A52)=2010,SUM(D$12:D52),""),IF(AND(YEAR(A52)=2010,YEAR(A53)=2011),SUM(D$12:D52,D53*(W$8-A52)/(A53-A52)),"")))</f>
        <v/>
      </c>
      <c r="X51" s="67" t="str">
        <f>IF(A52="","",IF(A53="",IF(YEAR(A52)=2011,SUM(D$12:D52),""),IF(AND(YEAR(A52)=2011,YEAR(A53)=2012),SUM(D$12:D52,D53*(X$8-A52)/(A53-A52)),"")))</f>
        <v/>
      </c>
      <c r="Y51" s="72" t="str">
        <f>IF(A52="","",IF(A53="",IF(YEAR(A52)=2012,SUM(D$12:D52),""),IF(AND(YEAR(A52)=2012,YEAR(A53)=2013),SUM(D$12:D52,D53*(Y$8-A52)/(A53-A52)),"")))</f>
        <v/>
      </c>
      <c r="Z51" s="67" t="str">
        <f>IF($A52="","",IF($A53="",IF(YEAR($A52)=2002,SUM($J$12:$J52),""),IF(AND(YEAR($A52)=2002,YEAR($A53)=2003),SUM($J$12:$J52,$J53*(O$8-$A52)/($A53-$A52)),"")))</f>
        <v/>
      </c>
      <c r="AA51" s="67" t="str">
        <f>IF($A52="","",IF($A53="",IF(YEAR($A52)=2003,SUM($J$12:$J52),""),IF(AND(YEAR($A52)=2003,YEAR($A53)=2004),SUM($J$12:$J52,$J53*(P$8-$A52)/($A53-$A52)),"")))</f>
        <v/>
      </c>
      <c r="AB51" s="67" t="str">
        <f>IF($A52="","",IF($A53="",IF(YEAR($A52)=2004,SUM($J$12:$J52),""),IF(AND(YEAR($A52)=2004,YEAR($A53)=2005),SUM($J$12:$J52,$J53*(Q$8-$A52)/($A53-$A52)),"")))</f>
        <v/>
      </c>
      <c r="AC51" s="67" t="str">
        <f>IF($A52="","",IF($A53="",IF(YEAR($A52)=2005,SUM($J$12:$J52),""),IF(AND(YEAR($A52)=2005,YEAR($A53)=2006),SUM($J$12:$J52,$J53*(R$8-$A52)/($A53-$A52)),"")))</f>
        <v/>
      </c>
      <c r="AD51" s="67" t="str">
        <f>IF($A52="","",IF($A53="",IF(YEAR($A52)=2006,SUM($J$12:$J52),""),IF(AND(YEAR($A52)=2006,YEAR($A53)=2007),SUM($J$12:$J52,$J53*(S$8-$A52)/($A53-$A52)),"")))</f>
        <v/>
      </c>
      <c r="AE51" s="67" t="str">
        <f>IF($A52="","",IF($A53="",IF(YEAR($A52)=2007,SUM($J$12:$J52),""),IF(AND(YEAR($A52)=2007,YEAR($A53)=2008),SUM($J$12:$J52,$J53*(T$8-$A52)/($A53-$A52)),"")))</f>
        <v/>
      </c>
      <c r="AF51" s="67" t="str">
        <f>IF($A52="","",IF($A53="",IF(YEAR($A52)=2008,SUM($J$12:$J52),""),IF(AND(YEAR($A52)=2008,YEAR($A53)=2009),SUM($J$12:$J52,$J53*(U$8-$A52)/($A53-$A52)),"")))</f>
        <v/>
      </c>
      <c r="AG51" s="67" t="str">
        <f>IF($A52="","",IF($A53="",IF(YEAR($A52)=2009,SUM($J$12:$J52),""),IF(AND(YEAR($A52)=2009,YEAR($A53)=2010),SUM($J$12:$J52,$J53*(V$8-$A52)/($A53-$A52)),"")))</f>
        <v/>
      </c>
      <c r="AH51" s="67" t="str">
        <f>IF($A52="","",IF($A53="",IF(YEAR($A52)=2010,SUM($J$12:$J52),""),IF(AND(YEAR($A52)=2010,YEAR($A53)=2011),SUM($J$12:$J52,$J53*(W$8-$A52)/($A53-$A52)),"")))</f>
        <v/>
      </c>
      <c r="AI51" s="67" t="str">
        <f>IF($A52="","",IF($A53="",IF(YEAR($A52)=2011,SUM($J$12:$J52),""),IF(AND(YEAR($A52)=2011,YEAR($A53)=2012),SUM($J$12:$J52,$J53*(X$8-$A52)/($A53-$A52)),"")))</f>
        <v/>
      </c>
      <c r="AJ51" s="67" t="str">
        <f>IF($A52="","",IF($A53="",IF(YEAR($A52)=2012,SUM($J$12:$J52),""),IF(AND(YEAR($A52)=2012,YEAR($A53)=2013),SUM($J$12:$J52,$J53*(Y$8-$A52)/($A53-$A52)),"")))</f>
        <v/>
      </c>
    </row>
    <row r="52" spans="1:36" x14ac:dyDescent="0.2">
      <c r="A52" s="309" t="str">
        <f t="shared" si="0"/>
        <v/>
      </c>
      <c r="B52" s="203" t="str">
        <f>IF($E$5*$E$7&lt;40," ",40)</f>
        <v xml:space="preserve"> </v>
      </c>
      <c r="C52" s="201" t="str">
        <f>IF(AND(B50=" ",B51=" ",B52=" ")," ",IF(B51=" ",SUM(C$13:C50),IF(B52=" "," ",D52+E52)))</f>
        <v xml:space="preserve"> </v>
      </c>
      <c r="D52" s="201" t="str">
        <f>IF(AND(B50=" ",B51=" ",B52=" ")," ",IF(B51=" ",SUM(D$13:D50),IF(B52=" "," ",ROUND(F51*E$6/E$7,2))))</f>
        <v xml:space="preserve"> </v>
      </c>
      <c r="E52" s="201" t="str">
        <f>IF(AND(B50=" ",B51=" ",B52=" ")," ",IF(B51=" ",SUM(E$13:E50),IF(B52=" "," ",E$8)))</f>
        <v xml:space="preserve"> </v>
      </c>
      <c r="F52" s="201" t="str">
        <f>IF(AND(B50=" ",B51=" ",B52=" ")," ",IF(B51=" ",SUM(F$12:F49),IF(B52=" "," ",F51-E52)))</f>
        <v xml:space="preserve"> </v>
      </c>
      <c r="G52" s="201" t="str">
        <f>IF(AND(B50=" ",B51=" ",B52=" ")," ",IF(B51=" ",SUM(G$12:G50),IF(B53=" ",IF(E$5*E$7=B52,C52-C$7+C$8+G$10," "),C52)))</f>
        <v xml:space="preserve"> </v>
      </c>
      <c r="H52" s="204" t="str">
        <f>IF(AND(B50=" ",B51=" ",B52=" ")," ",IF(B51=" ",SUM(H$13:H50)*E$7,IF(B52=" "," ",IF(B53=" ",IF(E$5*E$7=B52,IRR(G$12:G52,0.01)," ")," "))))</f>
        <v xml:space="preserve"> </v>
      </c>
      <c r="I52" s="202" t="str">
        <f t="shared" si="1"/>
        <v/>
      </c>
      <c r="J52" s="202" t="str">
        <f t="shared" si="2"/>
        <v/>
      </c>
      <c r="K52" s="55"/>
      <c r="L52" s="56"/>
      <c r="O52" s="67"/>
      <c r="P52" s="67" t="str">
        <f>IF($A53="","",IF($A54="",IF(YEAR($A53)=2003,SUM($D$12:$D53),""),IF(AND(YEAR($A53)=2003,YEAR($A54)=2004),SUM($D$12:$D53,$D54*(P$8-$A53)/($A54-$A53)),"")))</f>
        <v/>
      </c>
      <c r="Q52" s="67" t="str">
        <f>IF(A53="","",IF(A54="",IF(YEAR(A53)=2004,SUM(D$12:D53),""),IF(AND(YEAR(A53)=2004,YEAR(A54)=2005),SUM(D$12:D53,D54*(Q$8-A53)/(A54-A53)),"")))</f>
        <v/>
      </c>
      <c r="R52" s="67" t="str">
        <f>IF(A53="","",IF(A54="",IF(YEAR(A53)=2005,SUM(D$12:D53),""),IF(AND(YEAR(A53)=2005,YEAR(A54)=2006),SUM(D$12:D53,D54*(R$8-A53)/(A54-A53)),"")))</f>
        <v/>
      </c>
      <c r="S52" s="67" t="str">
        <f>IF(A53="","",IF(A54="",IF(YEAR(A53)=2006,SUM(D$12:D53),""),IF(AND(YEAR(A53)=2006,YEAR(A54)=2007),SUM(D$12:D53,D54*(S$8-A53)/(A54-A53)),"")))</f>
        <v/>
      </c>
      <c r="T52" s="67" t="str">
        <f>IF(A53="","",IF(A54="",IF(YEAR(A53)=2007,SUM(D$12:D53),""),IF(AND(YEAR(A53)=2007,YEAR(A54)=2008),SUM(D$12:D53,D54*(T$8-A53)/(A54-A53)),"")))</f>
        <v/>
      </c>
      <c r="U52" s="67" t="str">
        <f>IF(A53="","",IF(A54="",IF(YEAR(A53)=2008,SUM(D$12:D53),""),IF(AND(YEAR(A53)=2008,YEAR(A54)=2009),SUM(D$12:D53,D54*(U$8-A53)/(A54-A53)),"")))</f>
        <v/>
      </c>
      <c r="V52" s="67" t="str">
        <f>IF(A53="","",IF(A54="",IF(YEAR(A53)=2009,SUM(D$12:D53),""),IF(AND(YEAR(A53)=2009,YEAR(A54)=2010),SUM(D$12:D53,D54*(V$8-A53)/(A54-A53)),"")))</f>
        <v/>
      </c>
      <c r="W52" s="67" t="str">
        <f>IF(A53="","",IF(A54="",IF(YEAR(A53)=2010,SUM(D$12:D53),""),IF(AND(YEAR(A53)=2010,YEAR(A54)=2011),SUM(D$12:D53,D54*(W$8-A53)/(A54-A53)),"")))</f>
        <v/>
      </c>
      <c r="X52" s="67" t="str">
        <f>IF(A53="","",IF(A54="",IF(YEAR(A53)=2011,SUM(D$12:D53),""),IF(AND(YEAR(A53)=2011,YEAR(A54)=2012),SUM(D$12:D53,D54*(X$8-A53)/(A54-A53)),"")))</f>
        <v/>
      </c>
      <c r="Y52" s="72" t="str">
        <f>IF(A53="","",IF(A54="",IF(YEAR(A53)=2012,SUM(D$12:D53),""),IF(AND(YEAR(A53)=2012,YEAR(A54)=2013),SUM(D$12:D53,D54*(Y$8-A53)/(A54-A53)),"")))</f>
        <v/>
      </c>
      <c r="Z52" s="67" t="str">
        <f>IF($A53="","",IF($A54="",IF(YEAR($A53)=2002,SUM($J$12:$J53),""),IF(AND(YEAR($A53)=2002,YEAR($A54)=2003),SUM($J$12:$J53,$J54*(O$8-$A53)/($A54-$A53)),"")))</f>
        <v/>
      </c>
      <c r="AA52" s="67" t="str">
        <f>IF($A53="","",IF($A54="",IF(YEAR($A53)=2003,SUM($J$12:$J53),""),IF(AND(YEAR($A53)=2003,YEAR($A54)=2004),SUM($J$12:$J53,$J54*(P$8-$A53)/($A54-$A53)),"")))</f>
        <v/>
      </c>
      <c r="AB52" s="67" t="str">
        <f>IF($A53="","",IF($A54="",IF(YEAR($A53)=2004,SUM($J$12:$J53),""),IF(AND(YEAR($A53)=2004,YEAR($A54)=2005),SUM($J$12:$J53,$J54*(Q$8-$A53)/($A54-$A53)),"")))</f>
        <v/>
      </c>
      <c r="AC52" s="67" t="str">
        <f>IF($A53="","",IF($A54="",IF(YEAR($A53)=2005,SUM($J$12:$J53),""),IF(AND(YEAR($A53)=2005,YEAR($A54)=2006),SUM($J$12:$J53,$J54*(R$8-$A53)/($A54-$A53)),"")))</f>
        <v/>
      </c>
      <c r="AD52" s="67" t="str">
        <f>IF($A53="","",IF($A54="",IF(YEAR($A53)=2006,SUM($J$12:$J53),""),IF(AND(YEAR($A53)=2006,YEAR($A54)=2007),SUM($J$12:$J53,$J54*(S$8-$A53)/($A54-$A53)),"")))</f>
        <v/>
      </c>
      <c r="AE52" s="67" t="str">
        <f>IF($A53="","",IF($A54="",IF(YEAR($A53)=2007,SUM($J$12:$J53),""),IF(AND(YEAR($A53)=2007,YEAR($A54)=2008),SUM($J$12:$J53,$J54*(T$8-$A53)/($A54-$A53)),"")))</f>
        <v/>
      </c>
      <c r="AF52" s="67" t="str">
        <f>IF($A53="","",IF($A54="",IF(YEAR($A53)=2008,SUM($J$12:$J53),""),IF(AND(YEAR($A53)=2008,YEAR($A54)=2009),SUM($J$12:$J53,$J54*(U$8-$A53)/($A54-$A53)),"")))</f>
        <v/>
      </c>
      <c r="AG52" s="67" t="str">
        <f>IF($A53="","",IF($A54="",IF(YEAR($A53)=2009,SUM($J$12:$J53),""),IF(AND(YEAR($A53)=2009,YEAR($A54)=2010),SUM($J$12:$J53,$J54*(V$8-$A53)/($A54-$A53)),"")))</f>
        <v/>
      </c>
      <c r="AH52" s="67" t="str">
        <f>IF($A53="","",IF($A54="",IF(YEAR($A53)=2010,SUM($J$12:$J53),""),IF(AND(YEAR($A53)=2010,YEAR($A54)=2011),SUM($J$12:$J53,$J54*(W$8-$A53)/($A54-$A53)),"")))</f>
        <v/>
      </c>
      <c r="AI52" s="67" t="str">
        <f>IF($A53="","",IF($A54="",IF(YEAR($A53)=2011,SUM($J$12:$J53),""),IF(AND(YEAR($A53)=2011,YEAR($A54)=2012),SUM($J$12:$J53,$J54*(X$8-$A53)/($A54-$A53)),"")))</f>
        <v/>
      </c>
      <c r="AJ52" s="67" t="str">
        <f>IF($A53="","",IF($A54="",IF(YEAR($A53)=2012,SUM($J$12:$J53),""),IF(AND(YEAR($A53)=2012,YEAR($A54)=2013),SUM($J$12:$J53,$J54*(Y$8-$A53)/($A54-$A53)),"")))</f>
        <v/>
      </c>
    </row>
    <row r="53" spans="1:36" x14ac:dyDescent="0.2">
      <c r="A53" s="309" t="str">
        <f t="shared" si="0"/>
        <v/>
      </c>
      <c r="B53" s="203" t="str">
        <f>IF($E$5*$E$7&lt;41," ",41)</f>
        <v xml:space="preserve"> </v>
      </c>
      <c r="C53" s="201" t="str">
        <f>IF(AND(B51=" ",B52=" ",B53=" ")," ",IF(B52=" ",SUM(C$13:C51),IF(B53=" "," ",D53+E53)))</f>
        <v xml:space="preserve"> </v>
      </c>
      <c r="D53" s="201" t="str">
        <f>IF(AND(B51=" ",B52=" ",B53=" ")," ",IF(B52=" ",SUM(D$13:D51),IF(B53=" "," ",ROUND(F52*E$6/E$7,2))))</f>
        <v xml:space="preserve"> </v>
      </c>
      <c r="E53" s="201" t="str">
        <f>IF(AND(B51=" ",B52=" ",B53=" ")," ",IF(B52=" ",SUM(E$13:E51),IF(B53=" "," ",E$8)))</f>
        <v xml:space="preserve"> </v>
      </c>
      <c r="F53" s="201" t="str">
        <f>IF(AND(B51=" ",B52=" ",B53=" ")," ",IF(B52=" ",SUM(F$12:F50),IF(B53=" "," ",F52-E53)))</f>
        <v xml:space="preserve"> </v>
      </c>
      <c r="G53" s="201" t="str">
        <f>IF(AND(B51=" ",B52=" ",B53=" ")," ",IF(B52=" ",SUM(G$12:G51),IF(B54=" ",IF(E$5*E$7=B53,C53-C$7+C$8+G$10," "),C53)))</f>
        <v xml:space="preserve"> </v>
      </c>
      <c r="H53" s="204" t="str">
        <f>IF(AND(B51=" ",B52=" ",B53=" ")," ",IF(B52=" ",SUM(H$13:H51)*E$7,IF(B53=" "," ",IF(B54=" ",IF(E$5*E$7=B53,IRR(G$12:G53,0.01)," ")," "))))</f>
        <v xml:space="preserve"> </v>
      </c>
      <c r="I53" s="202" t="str">
        <f t="shared" si="1"/>
        <v/>
      </c>
      <c r="J53" s="202" t="str">
        <f t="shared" si="2"/>
        <v/>
      </c>
      <c r="K53" s="55"/>
      <c r="L53" s="56"/>
      <c r="O53" s="67"/>
      <c r="P53" s="67" t="str">
        <f>IF($A54="","",IF($A55="",IF(YEAR($A54)=2003,SUM($D$12:$D54),""),IF(AND(YEAR($A54)=2003,YEAR($A55)=2004),SUM($D$12:$D54,$D55*(P$8-$A54)/($A55-$A54)),"")))</f>
        <v/>
      </c>
      <c r="Q53" s="67" t="str">
        <f>IF(A54="","",IF(A55="",IF(YEAR(A54)=2004,SUM(D$12:D54),""),IF(AND(YEAR(A54)=2004,YEAR(A55)=2005),SUM(D$12:D54,D55*(Q$8-A54)/(A55-A54)),"")))</f>
        <v/>
      </c>
      <c r="R53" s="67" t="str">
        <f>IF(A54="","",IF(A55="",IF(YEAR(A54)=2005,SUM(D$12:D54),""),IF(AND(YEAR(A54)=2005,YEAR(A55)=2006),SUM(D$12:D54,D55*(R$8-A54)/(A55-A54)),"")))</f>
        <v/>
      </c>
      <c r="S53" s="67" t="str">
        <f>IF(A54="","",IF(A55="",IF(YEAR(A54)=2006,SUM(D$12:D54),""),IF(AND(YEAR(A54)=2006,YEAR(A55)=2007),SUM(D$12:D54,D55*(S$8-A54)/(A55-A54)),"")))</f>
        <v/>
      </c>
      <c r="T53" s="67" t="str">
        <f>IF(A54="","",IF(A55="",IF(YEAR(A54)=2007,SUM(D$12:D54),""),IF(AND(YEAR(A54)=2007,YEAR(A55)=2008),SUM(D$12:D54,D55*(T$8-A54)/(A55-A54)),"")))</f>
        <v/>
      </c>
      <c r="U53" s="67" t="str">
        <f>IF(A54="","",IF(A55="",IF(YEAR(A54)=2008,SUM(D$12:D54),""),IF(AND(YEAR(A54)=2008,YEAR(A55)=2009),SUM(D$12:D54,D55*(U$8-A54)/(A55-A54)),"")))</f>
        <v/>
      </c>
      <c r="V53" s="67" t="str">
        <f>IF(A54="","",IF(A55="",IF(YEAR(A54)=2009,SUM(D$12:D54),""),IF(AND(YEAR(A54)=2009,YEAR(A55)=2010),SUM(D$12:D54,D55*(V$8-A54)/(A55-A54)),"")))</f>
        <v/>
      </c>
      <c r="W53" s="67" t="str">
        <f>IF(A54="","",IF(A55="",IF(YEAR(A54)=2010,SUM(D$12:D54),""),IF(AND(YEAR(A54)=2010,YEAR(A55)=2011),SUM(D$12:D54,D55*(W$8-A54)/(A55-A54)),"")))</f>
        <v/>
      </c>
      <c r="X53" s="67" t="str">
        <f>IF(A54="","",IF(A55="",IF(YEAR(A54)=2011,SUM(D$12:D54),""),IF(AND(YEAR(A54)=2011,YEAR(A55)=2012),SUM(D$12:D54,D55*(X$8-A54)/(A55-A54)),"")))</f>
        <v/>
      </c>
      <c r="Y53" s="72" t="str">
        <f>IF(A54="","",IF(A55="",IF(YEAR(A54)=2012,SUM(D$12:D54),""),IF(AND(YEAR(A54)=2012,YEAR(A55)=2013),SUM(D$12:D54,D55*(Y$8-A54)/(A55-A54)),"")))</f>
        <v/>
      </c>
      <c r="Z53" s="67" t="str">
        <f>IF($A54="","",IF($A55="",IF(YEAR($A54)=2002,SUM($J$12:$J54),""),IF(AND(YEAR($A54)=2002,YEAR($A55)=2003),SUM($J$12:$J54,$J55*(O$8-$A54)/($A55-$A54)),"")))</f>
        <v/>
      </c>
      <c r="AA53" s="67" t="str">
        <f>IF($A54="","",IF($A55="",IF(YEAR($A54)=2003,SUM($J$12:$J54),""),IF(AND(YEAR($A54)=2003,YEAR($A55)=2004),SUM($J$12:$J54,$J55*(P$8-$A54)/($A55-$A54)),"")))</f>
        <v/>
      </c>
      <c r="AB53" s="67" t="str">
        <f>IF($A54="","",IF($A55="",IF(YEAR($A54)=2004,SUM($J$12:$J54),""),IF(AND(YEAR($A54)=2004,YEAR($A55)=2005),SUM($J$12:$J54,$J55*(Q$8-$A54)/($A55-$A54)),"")))</f>
        <v/>
      </c>
      <c r="AC53" s="67" t="str">
        <f>IF($A54="","",IF($A55="",IF(YEAR($A54)=2005,SUM($J$12:$J54),""),IF(AND(YEAR($A54)=2005,YEAR($A55)=2006),SUM($J$12:$J54,$J55*(R$8-$A54)/($A55-$A54)),"")))</f>
        <v/>
      </c>
      <c r="AD53" s="67" t="str">
        <f>IF($A54="","",IF($A55="",IF(YEAR($A54)=2006,SUM($J$12:$J54),""),IF(AND(YEAR($A54)=2006,YEAR($A55)=2007),SUM($J$12:$J54,$J55*(S$8-$A54)/($A55-$A54)),"")))</f>
        <v/>
      </c>
      <c r="AE53" s="67" t="str">
        <f>IF($A54="","",IF($A55="",IF(YEAR($A54)=2007,SUM($J$12:$J54),""),IF(AND(YEAR($A54)=2007,YEAR($A55)=2008),SUM($J$12:$J54,$J55*(T$8-$A54)/($A55-$A54)),"")))</f>
        <v/>
      </c>
      <c r="AF53" s="67" t="str">
        <f>IF($A54="","",IF($A55="",IF(YEAR($A54)=2008,SUM($J$12:$J54),""),IF(AND(YEAR($A54)=2008,YEAR($A55)=2009),SUM($J$12:$J54,$J55*(U$8-$A54)/($A55-$A54)),"")))</f>
        <v/>
      </c>
      <c r="AG53" s="67" t="str">
        <f>IF($A54="","",IF($A55="",IF(YEAR($A54)=2009,SUM($J$12:$J54),""),IF(AND(YEAR($A54)=2009,YEAR($A55)=2010),SUM($J$12:$J54,$J55*(V$8-$A54)/($A55-$A54)),"")))</f>
        <v/>
      </c>
      <c r="AH53" s="67" t="str">
        <f>IF($A54="","",IF($A55="",IF(YEAR($A54)=2010,SUM($J$12:$J54),""),IF(AND(YEAR($A54)=2010,YEAR($A55)=2011),SUM($J$12:$J54,$J55*(W$8-$A54)/($A55-$A54)),"")))</f>
        <v/>
      </c>
      <c r="AI53" s="67" t="str">
        <f>IF($A54="","",IF($A55="",IF(YEAR($A54)=2011,SUM($J$12:$J54),""),IF(AND(YEAR($A54)=2011,YEAR($A55)=2012),SUM($J$12:$J54,$J55*(X$8-$A54)/($A55-$A54)),"")))</f>
        <v/>
      </c>
      <c r="AJ53" s="67" t="str">
        <f>IF($A54="","",IF($A55="",IF(YEAR($A54)=2012,SUM($J$12:$J54),""),IF(AND(YEAR($A54)=2012,YEAR($A55)=2013),SUM($J$12:$J54,$J55*(Y$8-$A54)/($A55-$A54)),"")))</f>
        <v/>
      </c>
    </row>
    <row r="54" spans="1:36" x14ac:dyDescent="0.2">
      <c r="A54" s="309" t="str">
        <f t="shared" si="0"/>
        <v/>
      </c>
      <c r="B54" s="203" t="str">
        <f>IF($E$5*$E$7&lt;42," ",42)</f>
        <v xml:space="preserve"> </v>
      </c>
      <c r="C54" s="201" t="str">
        <f>IF(AND(B52=" ",B53=" ",B54=" ")," ",IF(B53=" ",SUM(C$13:C52),IF(B54=" "," ",D54+E54)))</f>
        <v xml:space="preserve"> </v>
      </c>
      <c r="D54" s="201" t="str">
        <f>IF(AND(B52=" ",B53=" ",B54=" ")," ",IF(B53=" ",SUM(D$13:D52),IF(B54=" "," ",ROUND(F53*E$6/E$7,2))))</f>
        <v xml:space="preserve"> </v>
      </c>
      <c r="E54" s="201" t="str">
        <f>IF(AND(B52=" ",B53=" ",B54=" ")," ",IF(B53=" ",SUM(E$13:E52),IF(B54=" "," ",E$8)))</f>
        <v xml:space="preserve"> </v>
      </c>
      <c r="F54" s="201" t="str">
        <f>IF(AND(B52=" ",B53=" ",B54=" ")," ",IF(B53=" ",SUM(F$12:F51),IF(B54=" "," ",F53-E54)))</f>
        <v xml:space="preserve"> </v>
      </c>
      <c r="G54" s="201" t="str">
        <f>IF(AND(B52=" ",B53=" ",B54=" ")," ",IF(B53=" ",SUM(G$12:G52),IF(B55=" ",IF(E$5*E$7=B54,C54-C$7+C$8+G$10," "),C54)))</f>
        <v xml:space="preserve"> </v>
      </c>
      <c r="H54" s="204" t="str">
        <f>IF(AND(B52=" ",B53=" ",B54=" ")," ",IF(B53=" ",SUM(H$13:H52)*E$7,IF(B54=" "," ",IF(B55=" ",IF(E$5*E$7=B54,IRR(G$12:G54,0.01)," ")," "))))</f>
        <v xml:space="preserve"> </v>
      </c>
      <c r="I54" s="202" t="str">
        <f t="shared" si="1"/>
        <v/>
      </c>
      <c r="J54" s="202" t="str">
        <f t="shared" si="2"/>
        <v/>
      </c>
      <c r="K54" s="55"/>
      <c r="L54" s="56"/>
      <c r="O54" s="67"/>
      <c r="P54" s="67" t="str">
        <f>IF($A55="","",IF($A56="",IF(YEAR($A55)=2003,SUM($D$12:$D55),""),IF(AND(YEAR($A55)=2003,YEAR($A56)=2004),SUM($D$12:$D55,$D56*(P$8-$A55)/($A56-$A55)),"")))</f>
        <v/>
      </c>
      <c r="Q54" s="67" t="str">
        <f>IF(A55="","",IF(A56="",IF(YEAR(A55)=2004,SUM(D$12:D55),""),IF(AND(YEAR(A55)=2004,YEAR(A56)=2005),SUM(D$12:D55,D56*(Q$8-A55)/(A56-A55)),"")))</f>
        <v/>
      </c>
      <c r="R54" s="67" t="str">
        <f>IF(A55="","",IF(A56="",IF(YEAR(A55)=2005,SUM(D$12:D55),""),IF(AND(YEAR(A55)=2005,YEAR(A56)=2006),SUM(D$12:D55,D56*(R$8-A55)/(A56-A55)),"")))</f>
        <v/>
      </c>
      <c r="S54" s="67" t="str">
        <f>IF(A55="","",IF(A56="",IF(YEAR(A55)=2006,SUM(D$12:D55),""),IF(AND(YEAR(A55)=2006,YEAR(A56)=2007),SUM(D$12:D55,D56*(S$8-A55)/(A56-A55)),"")))</f>
        <v/>
      </c>
      <c r="T54" s="67" t="str">
        <f>IF(A55="","",IF(A56="",IF(YEAR(A55)=2007,SUM(D$12:D55),""),IF(AND(YEAR(A55)=2007,YEAR(A56)=2008),SUM(D$12:D55,D56*(T$8-A55)/(A56-A55)),"")))</f>
        <v/>
      </c>
      <c r="U54" s="67" t="str">
        <f>IF(A55="","",IF(A56="",IF(YEAR(A55)=2008,SUM(D$12:D55),""),IF(AND(YEAR(A55)=2008,YEAR(A56)=2009),SUM(D$12:D55,D56*(U$8-A55)/(A56-A55)),"")))</f>
        <v/>
      </c>
      <c r="V54" s="67" t="str">
        <f>IF(A55="","",IF(A56="",IF(YEAR(A55)=2009,SUM(D$12:D55),""),IF(AND(YEAR(A55)=2009,YEAR(A56)=2010),SUM(D$12:D55,D56*(V$8-A55)/(A56-A55)),"")))</f>
        <v/>
      </c>
      <c r="W54" s="67" t="str">
        <f>IF(A55="","",IF(A56="",IF(YEAR(A55)=2010,SUM(D$12:D55),""),IF(AND(YEAR(A55)=2010,YEAR(A56)=2011),SUM(D$12:D55,D56*(W$8-A55)/(A56-A55)),"")))</f>
        <v/>
      </c>
      <c r="X54" s="67" t="str">
        <f>IF(A55="","",IF(A56="",IF(YEAR(A55)=2011,SUM(D$12:D55),""),IF(AND(YEAR(A55)=2011,YEAR(A56)=2012),SUM(D$12:D55,D56*(X$8-A55)/(A56-A55)),"")))</f>
        <v/>
      </c>
      <c r="Y54" s="72" t="str">
        <f>IF(A55="","",IF(A56="",IF(YEAR(A55)=2012,SUM(D$12:D55),""),IF(AND(YEAR(A55)=2012,YEAR(A56)=2013),SUM(D$12:D55,D56*(Y$8-A55)/(A56-A55)),"")))</f>
        <v/>
      </c>
      <c r="Z54" s="67" t="str">
        <f>IF($A55="","",IF($A56="",IF(YEAR($A55)=2002,SUM($J$12:$J55),""),IF(AND(YEAR($A55)=2002,YEAR($A56)=2003),SUM($J$12:$J55,$J56*(O$8-$A55)/($A56-$A55)),"")))</f>
        <v/>
      </c>
      <c r="AA54" s="67" t="str">
        <f>IF($A55="","",IF($A56="",IF(YEAR($A55)=2003,SUM($J$12:$J55),""),IF(AND(YEAR($A55)=2003,YEAR($A56)=2004),SUM($J$12:$J55,$J56*(P$8-$A55)/($A56-$A55)),"")))</f>
        <v/>
      </c>
      <c r="AB54" s="67" t="str">
        <f>IF($A55="","",IF($A56="",IF(YEAR($A55)=2004,SUM($J$12:$J55),""),IF(AND(YEAR($A55)=2004,YEAR($A56)=2005),SUM($J$12:$J55,$J56*(Q$8-$A55)/($A56-$A55)),"")))</f>
        <v/>
      </c>
      <c r="AC54" s="67" t="str">
        <f>IF($A55="","",IF($A56="",IF(YEAR($A55)=2005,SUM($J$12:$J55),""),IF(AND(YEAR($A55)=2005,YEAR($A56)=2006),SUM($J$12:$J55,$J56*(R$8-$A55)/($A56-$A55)),"")))</f>
        <v/>
      </c>
      <c r="AD54" s="67" t="str">
        <f>IF($A55="","",IF($A56="",IF(YEAR($A55)=2006,SUM($J$12:$J55),""),IF(AND(YEAR($A55)=2006,YEAR($A56)=2007),SUM($J$12:$J55,$J56*(S$8-$A55)/($A56-$A55)),"")))</f>
        <v/>
      </c>
      <c r="AE54" s="67" t="str">
        <f>IF($A55="","",IF($A56="",IF(YEAR($A55)=2007,SUM($J$12:$J55),""),IF(AND(YEAR($A55)=2007,YEAR($A56)=2008),SUM($J$12:$J55,$J56*(T$8-$A55)/($A56-$A55)),"")))</f>
        <v/>
      </c>
      <c r="AF54" s="67" t="str">
        <f>IF($A55="","",IF($A56="",IF(YEAR($A55)=2008,SUM($J$12:$J55),""),IF(AND(YEAR($A55)=2008,YEAR($A56)=2009),SUM($J$12:$J55,$J56*(U$8-$A55)/($A56-$A55)),"")))</f>
        <v/>
      </c>
      <c r="AG54" s="67" t="str">
        <f>IF($A55="","",IF($A56="",IF(YEAR($A55)=2009,SUM($J$12:$J55),""),IF(AND(YEAR($A55)=2009,YEAR($A56)=2010),SUM($J$12:$J55,$J56*(V$8-$A55)/($A56-$A55)),"")))</f>
        <v/>
      </c>
      <c r="AH54" s="67" t="str">
        <f>IF($A55="","",IF($A56="",IF(YEAR($A55)=2010,SUM($J$12:$J55),""),IF(AND(YEAR($A55)=2010,YEAR($A56)=2011),SUM($J$12:$J55,$J56*(W$8-$A55)/($A56-$A55)),"")))</f>
        <v/>
      </c>
      <c r="AI54" s="67" t="str">
        <f>IF($A55="","",IF($A56="",IF(YEAR($A55)=2011,SUM($J$12:$J55),""),IF(AND(YEAR($A55)=2011,YEAR($A56)=2012),SUM($J$12:$J55,$J56*(X$8-$A55)/($A56-$A55)),"")))</f>
        <v/>
      </c>
      <c r="AJ54" s="67" t="str">
        <f>IF($A55="","",IF($A56="",IF(YEAR($A55)=2012,SUM($J$12:$J55),""),IF(AND(YEAR($A55)=2012,YEAR($A56)=2013),SUM($J$12:$J55,$J56*(Y$8-$A55)/($A56-$A55)),"")))</f>
        <v/>
      </c>
    </row>
    <row r="55" spans="1:36" x14ac:dyDescent="0.2">
      <c r="A55" s="309" t="str">
        <f t="shared" si="0"/>
        <v/>
      </c>
      <c r="B55" s="203" t="str">
        <f>IF($E$5*$E$7&lt;43," ",43)</f>
        <v xml:space="preserve"> </v>
      </c>
      <c r="C55" s="201" t="str">
        <f>IF(AND(B53=" ",B54=" ",B55=" ")," ",IF(B54=" ",SUM(C$13:C53),IF(B55=" "," ",D55+E55)))</f>
        <v xml:space="preserve"> </v>
      </c>
      <c r="D55" s="201" t="str">
        <f>IF(AND(B53=" ",B54=" ",B55=" ")," ",IF(B54=" ",SUM(D$13:D53),IF(B55=" "," ",ROUND(F54*E$6/E$7,2))))</f>
        <v xml:space="preserve"> </v>
      </c>
      <c r="E55" s="201" t="str">
        <f>IF(AND(B53=" ",B54=" ",B55=" ")," ",IF(B54=" ",SUM(E$13:E53),IF(B55=" "," ",E$8)))</f>
        <v xml:space="preserve"> </v>
      </c>
      <c r="F55" s="201" t="str">
        <f>IF(AND(B53=" ",B54=" ",B55=" ")," ",IF(B54=" ",SUM(F$12:F52),IF(B55=" "," ",F54-E55)))</f>
        <v xml:space="preserve"> </v>
      </c>
      <c r="G55" s="201" t="str">
        <f>IF(AND(B53=" ",B54=" ",B55=" ")," ",IF(B54=" ",SUM(G$12:G53),IF(B56=" ",IF(E$5*E$7=B55,C55-C$7+C$8+G$10," "),C55)))</f>
        <v xml:space="preserve"> </v>
      </c>
      <c r="H55" s="204" t="str">
        <f>IF(AND(B53=" ",B54=" ",B55=" ")," ",IF(B54=" ",SUM(H$13:H53)*E$7,IF(B55=" "," ",IF(B56=" ",IF(E$5*E$7=B55,IRR(G$12:G55,0.01)," ")," "))))</f>
        <v xml:space="preserve"> </v>
      </c>
      <c r="I55" s="202" t="str">
        <f t="shared" si="1"/>
        <v/>
      </c>
      <c r="J55" s="202" t="str">
        <f t="shared" si="2"/>
        <v/>
      </c>
      <c r="K55" s="55"/>
      <c r="L55" s="56"/>
      <c r="O55" s="67"/>
      <c r="P55" s="67" t="str">
        <f>IF($A56="","",IF($A57="",IF(YEAR($A56)=2003,SUM($D$12:$D56),""),IF(AND(YEAR($A56)=2003,YEAR($A57)=2004),SUM($D$12:$D56,$D57*(P$8-$A56)/($A57-$A56)),"")))</f>
        <v/>
      </c>
      <c r="Q55" s="67" t="str">
        <f>IF(A56="","",IF(A57="",IF(YEAR(A56)=2004,SUM(D$12:D56),""),IF(AND(YEAR(A56)=2004,YEAR(A57)=2005),SUM(D$12:D56,D57*(Q$8-A56)/(A57-A56)),"")))</f>
        <v/>
      </c>
      <c r="R55" s="67" t="str">
        <f>IF(A56="","",IF(A57="",IF(YEAR(A56)=2005,SUM(D$12:D56),""),IF(AND(YEAR(A56)=2005,YEAR(A57)=2006),SUM(D$12:D56,D57*(R$8-A56)/(A57-A56)),"")))</f>
        <v/>
      </c>
      <c r="S55" s="67" t="str">
        <f>IF(A56="","",IF(A57="",IF(YEAR(A56)=2006,SUM(D$12:D56),""),IF(AND(YEAR(A56)=2006,YEAR(A57)=2007),SUM(D$12:D56,D57*(S$8-A56)/(A57-A56)),"")))</f>
        <v/>
      </c>
      <c r="T55" s="67" t="str">
        <f>IF(A56="","",IF(A57="",IF(YEAR(A56)=2007,SUM(D$12:D56),""),IF(AND(YEAR(A56)=2007,YEAR(A57)=2008),SUM(D$12:D56,D57*(T$8-A56)/(A57-A56)),"")))</f>
        <v/>
      </c>
      <c r="U55" s="67" t="str">
        <f>IF(A56="","",IF(A57="",IF(YEAR(A56)=2008,SUM(D$12:D56),""),IF(AND(YEAR(A56)=2008,YEAR(A57)=2009),SUM(D$12:D56,D57*(U$8-A56)/(A57-A56)),"")))</f>
        <v/>
      </c>
      <c r="V55" s="67" t="str">
        <f>IF(A56="","",IF(A57="",IF(YEAR(A56)=2009,SUM(D$12:D56),""),IF(AND(YEAR(A56)=2009,YEAR(A57)=2010),SUM(D$12:D56,D57*(V$8-A56)/(A57-A56)),"")))</f>
        <v/>
      </c>
      <c r="W55" s="67" t="str">
        <f>IF(A56="","",IF(A57="",IF(YEAR(A56)=2010,SUM(D$12:D56),""),IF(AND(YEAR(A56)=2010,YEAR(A57)=2011),SUM(D$12:D56,D57*(W$8-A56)/(A57-A56)),"")))</f>
        <v/>
      </c>
      <c r="X55" s="67" t="str">
        <f>IF(A56="","",IF(A57="",IF(YEAR(A56)=2011,SUM(D$12:D56),""),IF(AND(YEAR(A56)=2011,YEAR(A57)=2012),SUM(D$12:D56,D57*(X$8-A56)/(A57-A56)),"")))</f>
        <v/>
      </c>
      <c r="Y55" s="72" t="str">
        <f>IF(A56="","",IF(A57="",IF(YEAR(A56)=2012,SUM(D$12:D56),""),IF(AND(YEAR(A56)=2012,YEAR(A57)=2013),SUM(D$12:D56,D57*(Y$8-A56)/(A57-A56)),"")))</f>
        <v/>
      </c>
      <c r="Z55" s="67" t="str">
        <f>IF($A56="","",IF($A57="",IF(YEAR($A56)=2002,SUM($J$12:$J56),""),IF(AND(YEAR($A56)=2002,YEAR($A57)=2003),SUM($J$12:$J56,$J57*(O$8-$A56)/($A57-$A56)),"")))</f>
        <v/>
      </c>
      <c r="AA55" s="67" t="str">
        <f>IF($A56="","",IF($A57="",IF(YEAR($A56)=2003,SUM($J$12:$J56),""),IF(AND(YEAR($A56)=2003,YEAR($A57)=2004),SUM($J$12:$J56,$J57*(P$8-$A56)/($A57-$A56)),"")))</f>
        <v/>
      </c>
      <c r="AB55" s="67" t="str">
        <f>IF($A56="","",IF($A57="",IF(YEAR($A56)=2004,SUM($J$12:$J56),""),IF(AND(YEAR($A56)=2004,YEAR($A57)=2005),SUM($J$12:$J56,$J57*(Q$8-$A56)/($A57-$A56)),"")))</f>
        <v/>
      </c>
      <c r="AC55" s="67" t="str">
        <f>IF($A56="","",IF($A57="",IF(YEAR($A56)=2005,SUM($J$12:$J56),""),IF(AND(YEAR($A56)=2005,YEAR($A57)=2006),SUM($J$12:$J56,$J57*(R$8-$A56)/($A57-$A56)),"")))</f>
        <v/>
      </c>
      <c r="AD55" s="67" t="str">
        <f>IF($A56="","",IF($A57="",IF(YEAR($A56)=2006,SUM($J$12:$J56),""),IF(AND(YEAR($A56)=2006,YEAR($A57)=2007),SUM($J$12:$J56,$J57*(S$8-$A56)/($A57-$A56)),"")))</f>
        <v/>
      </c>
      <c r="AE55" s="67" t="str">
        <f>IF($A56="","",IF($A57="",IF(YEAR($A56)=2007,SUM($J$12:$J56),""),IF(AND(YEAR($A56)=2007,YEAR($A57)=2008),SUM($J$12:$J56,$J57*(T$8-$A56)/($A57-$A56)),"")))</f>
        <v/>
      </c>
      <c r="AF55" s="67" t="str">
        <f>IF($A56="","",IF($A57="",IF(YEAR($A56)=2008,SUM($J$12:$J56),""),IF(AND(YEAR($A56)=2008,YEAR($A57)=2009),SUM($J$12:$J56,$J57*(U$8-$A56)/($A57-$A56)),"")))</f>
        <v/>
      </c>
      <c r="AG55" s="67" t="str">
        <f>IF($A56="","",IF($A57="",IF(YEAR($A56)=2009,SUM($J$12:$J56),""),IF(AND(YEAR($A56)=2009,YEAR($A57)=2010),SUM($J$12:$J56,$J57*(V$8-$A56)/($A57-$A56)),"")))</f>
        <v/>
      </c>
      <c r="AH55" s="67" t="str">
        <f>IF($A56="","",IF($A57="",IF(YEAR($A56)=2010,SUM($J$12:$J56),""),IF(AND(YEAR($A56)=2010,YEAR($A57)=2011),SUM($J$12:$J56,$J57*(W$8-$A56)/($A57-$A56)),"")))</f>
        <v/>
      </c>
      <c r="AI55" s="67" t="str">
        <f>IF($A56="","",IF($A57="",IF(YEAR($A56)=2011,SUM($J$12:$J56),""),IF(AND(YEAR($A56)=2011,YEAR($A57)=2012),SUM($J$12:$J56,$J57*(X$8-$A56)/($A57-$A56)),"")))</f>
        <v/>
      </c>
      <c r="AJ55" s="67" t="str">
        <f>IF($A56="","",IF($A57="",IF(YEAR($A56)=2012,SUM($J$12:$J56),""),IF(AND(YEAR($A56)=2012,YEAR($A57)=2013),SUM($J$12:$J56,$J57*(Y$8-$A56)/($A57-$A56)),"")))</f>
        <v/>
      </c>
    </row>
    <row r="56" spans="1:36" x14ac:dyDescent="0.2">
      <c r="A56" s="309" t="str">
        <f t="shared" si="0"/>
        <v/>
      </c>
      <c r="B56" s="203" t="str">
        <f>IF($E$5*$E$7&lt;44," ",44)</f>
        <v xml:space="preserve"> </v>
      </c>
      <c r="C56" s="201" t="str">
        <f>IF(AND(B54=" ",B55=" ",B56=" ")," ",IF(B55=" ",SUM(C$13:C54),IF(B56=" "," ",D56+E56)))</f>
        <v xml:space="preserve"> </v>
      </c>
      <c r="D56" s="201" t="str">
        <f>IF(AND(B54=" ",B55=" ",B56=" ")," ",IF(B55=" ",SUM(D$13:D54),IF(B56=" "," ",ROUND(F55*E$6/E$7,2))))</f>
        <v xml:space="preserve"> </v>
      </c>
      <c r="E56" s="201" t="str">
        <f>IF(AND(B54=" ",B55=" ",B56=" ")," ",IF(B55=" ",SUM(E$13:E54),IF(B56=" "," ",E$8)))</f>
        <v xml:space="preserve"> </v>
      </c>
      <c r="F56" s="201" t="str">
        <f>IF(AND(B54=" ",B55=" ",B56=" ")," ",IF(B55=" ",SUM(F$12:F53),IF(B56=" "," ",F55-E56)))</f>
        <v xml:space="preserve"> </v>
      </c>
      <c r="G56" s="201" t="str">
        <f>IF(AND(B54=" ",B55=" ",B56=" ")," ",IF(B55=" ",SUM(G$12:G54),IF(B57=" ",IF(E$5*E$7=B56,C56-C$7+C$8+G$10," "),C56)))</f>
        <v xml:space="preserve"> </v>
      </c>
      <c r="H56" s="204" t="str">
        <f>IF(AND(B54=" ",B55=" ",B56=" ")," ",IF(B55=" ",SUM(H$13:H54)*E$7,IF(B56=" "," ",IF(B57=" ",IF(E$5*E$7=B56,IRR(G$12:G56,0.01)," ")," "))))</f>
        <v xml:space="preserve"> </v>
      </c>
      <c r="I56" s="202" t="str">
        <f t="shared" si="1"/>
        <v/>
      </c>
      <c r="J56" s="202" t="str">
        <f t="shared" si="2"/>
        <v/>
      </c>
      <c r="K56" s="55"/>
      <c r="L56" s="56"/>
      <c r="O56" s="67"/>
      <c r="P56" s="67" t="str">
        <f>IF($A57="","",IF($A58="",IF(YEAR($A57)=2003,SUM($D$12:$D57),""),IF(AND(YEAR($A57)=2003,YEAR($A58)=2004),SUM($D$12:$D57,$D58*(P$8-$A57)/($A58-$A57)),"")))</f>
        <v/>
      </c>
      <c r="Q56" s="67" t="str">
        <f>IF(A57="","",IF(A58="",IF(YEAR(A57)=2004,SUM(D$12:D57),""),IF(AND(YEAR(A57)=2004,YEAR(A58)=2005),SUM(D$12:D57,D58*(Q$8-A57)/(A58-A57)),"")))</f>
        <v/>
      </c>
      <c r="R56" s="67" t="str">
        <f>IF(A57="","",IF(A58="",IF(YEAR(A57)=2005,SUM(D$12:D57),""),IF(AND(YEAR(A57)=2005,YEAR(A58)=2006),SUM(D$12:D57,D58*(R$8-A57)/(A58-A57)),"")))</f>
        <v/>
      </c>
      <c r="S56" s="67" t="str">
        <f>IF(A57="","",IF(A58="",IF(YEAR(A57)=2006,SUM(D$12:D57),""),IF(AND(YEAR(A57)=2006,YEAR(A58)=2007),SUM(D$12:D57,D58*(S$8-A57)/(A58-A57)),"")))</f>
        <v/>
      </c>
      <c r="T56" s="67" t="str">
        <f>IF(A57="","",IF(A58="",IF(YEAR(A57)=2007,SUM(D$12:D57),""),IF(AND(YEAR(A57)=2007,YEAR(A58)=2008),SUM(D$12:D57,D58*(T$8-A57)/(A58-A57)),"")))</f>
        <v/>
      </c>
      <c r="U56" s="67" t="str">
        <f>IF(A57="","",IF(A58="",IF(YEAR(A57)=2008,SUM(D$12:D57),""),IF(AND(YEAR(A57)=2008,YEAR(A58)=2009),SUM(D$12:D57,D58*(U$8-A57)/(A58-A57)),"")))</f>
        <v/>
      </c>
      <c r="V56" s="67" t="str">
        <f>IF(A57="","",IF(A58="",IF(YEAR(A57)=2009,SUM(D$12:D57),""),IF(AND(YEAR(A57)=2009,YEAR(A58)=2010),SUM(D$12:D57,D58*(V$8-A57)/(A58-A57)),"")))</f>
        <v/>
      </c>
      <c r="W56" s="67" t="str">
        <f>IF(A57="","",IF(A58="",IF(YEAR(A57)=2010,SUM(D$12:D57),""),IF(AND(YEAR(A57)=2010,YEAR(A58)=2011),SUM(D$12:D57,D58*(W$8-A57)/(A58-A57)),"")))</f>
        <v/>
      </c>
      <c r="X56" s="67" t="str">
        <f>IF(A57="","",IF(A58="",IF(YEAR(A57)=2011,SUM(D$12:D57),""),IF(AND(YEAR(A57)=2011,YEAR(A58)=2012),SUM(D$12:D57,D58*(X$8-A57)/(A58-A57)),"")))</f>
        <v/>
      </c>
      <c r="Y56" s="72" t="str">
        <f>IF(A57="","",IF(A58="",IF(YEAR(A57)=2012,SUM(D$12:D57),""),IF(AND(YEAR(A57)=2012,YEAR(A58)=2013),SUM(D$12:D57,D58*(Y$8-A57)/(A58-A57)),"")))</f>
        <v/>
      </c>
      <c r="Z56" s="67" t="str">
        <f>IF($A57="","",IF($A58="",IF(YEAR($A57)=2002,SUM($J$12:$J57),""),IF(AND(YEAR($A57)=2002,YEAR($A58)=2003),SUM($J$12:$J57,$J58*(O$8-$A57)/($A58-$A57)),"")))</f>
        <v/>
      </c>
      <c r="AA56" s="67" t="str">
        <f>IF($A57="","",IF($A58="",IF(YEAR($A57)=2003,SUM($J$12:$J57),""),IF(AND(YEAR($A57)=2003,YEAR($A58)=2004),SUM($J$12:$J57,$J58*(P$8-$A57)/($A58-$A57)),"")))</f>
        <v/>
      </c>
      <c r="AB56" s="67" t="str">
        <f>IF($A57="","",IF($A58="",IF(YEAR($A57)=2004,SUM($J$12:$J57),""),IF(AND(YEAR($A57)=2004,YEAR($A58)=2005),SUM($J$12:$J57,$J58*(Q$8-$A57)/($A58-$A57)),"")))</f>
        <v/>
      </c>
      <c r="AC56" s="67" t="str">
        <f>IF($A57="","",IF($A58="",IF(YEAR($A57)=2005,SUM($J$12:$J57),""),IF(AND(YEAR($A57)=2005,YEAR($A58)=2006),SUM($J$12:$J57,$J58*(R$8-$A57)/($A58-$A57)),"")))</f>
        <v/>
      </c>
      <c r="AD56" s="67" t="str">
        <f>IF($A57="","",IF($A58="",IF(YEAR($A57)=2006,SUM($J$12:$J57),""),IF(AND(YEAR($A57)=2006,YEAR($A58)=2007),SUM($J$12:$J57,$J58*(S$8-$A57)/($A58-$A57)),"")))</f>
        <v/>
      </c>
      <c r="AE56" s="67" t="str">
        <f>IF($A57="","",IF($A58="",IF(YEAR($A57)=2007,SUM($J$12:$J57),""),IF(AND(YEAR($A57)=2007,YEAR($A58)=2008),SUM($J$12:$J57,$J58*(T$8-$A57)/($A58-$A57)),"")))</f>
        <v/>
      </c>
      <c r="AF56" s="67" t="str">
        <f>IF($A57="","",IF($A58="",IF(YEAR($A57)=2008,SUM($J$12:$J57),""),IF(AND(YEAR($A57)=2008,YEAR($A58)=2009),SUM($J$12:$J57,$J58*(U$8-$A57)/($A58-$A57)),"")))</f>
        <v/>
      </c>
      <c r="AG56" s="67" t="str">
        <f>IF($A57="","",IF($A58="",IF(YEAR($A57)=2009,SUM($J$12:$J57),""),IF(AND(YEAR($A57)=2009,YEAR($A58)=2010),SUM($J$12:$J57,$J58*(V$8-$A57)/($A58-$A57)),"")))</f>
        <v/>
      </c>
      <c r="AH56" s="67" t="str">
        <f>IF($A57="","",IF($A58="",IF(YEAR($A57)=2010,SUM($J$12:$J57),""),IF(AND(YEAR($A57)=2010,YEAR($A58)=2011),SUM($J$12:$J57,$J58*(W$8-$A57)/($A58-$A57)),"")))</f>
        <v/>
      </c>
      <c r="AI56" s="67" t="str">
        <f>IF($A57="","",IF($A58="",IF(YEAR($A57)=2011,SUM($J$12:$J57),""),IF(AND(YEAR($A57)=2011,YEAR($A58)=2012),SUM($J$12:$J57,$J58*(X$8-$A57)/($A58-$A57)),"")))</f>
        <v/>
      </c>
      <c r="AJ56" s="67" t="str">
        <f>IF($A57="","",IF($A58="",IF(YEAR($A57)=2012,SUM($J$12:$J57),""),IF(AND(YEAR($A57)=2012,YEAR($A58)=2013),SUM($J$12:$J57,$J58*(Y$8-$A57)/($A58-$A57)),"")))</f>
        <v/>
      </c>
    </row>
    <row r="57" spans="1:36" x14ac:dyDescent="0.2">
      <c r="A57" s="309" t="str">
        <f t="shared" si="0"/>
        <v/>
      </c>
      <c r="B57" s="203" t="str">
        <f>IF($E$5*$E$7&lt;45," ",45)</f>
        <v xml:space="preserve"> </v>
      </c>
      <c r="C57" s="201" t="str">
        <f>IF(AND(B55=" ",B56=" ",B57=" ")," ",IF(B56=" ",SUM(C$13:C55),IF(B57=" "," ",D57+E57)))</f>
        <v xml:space="preserve"> </v>
      </c>
      <c r="D57" s="201" t="str">
        <f>IF(AND(B55=" ",B56=" ",B57=" ")," ",IF(B56=" ",SUM(D$13:D55),IF(B57=" "," ",ROUND(F56*E$6/E$7,2))))</f>
        <v xml:space="preserve"> </v>
      </c>
      <c r="E57" s="201" t="str">
        <f>IF(AND(B55=" ",B56=" ",B57=" ")," ",IF(B56=" ",SUM(E$13:E55),IF(B57=" "," ",E$8)))</f>
        <v xml:space="preserve"> </v>
      </c>
      <c r="F57" s="201" t="str">
        <f>IF(AND(B55=" ",B56=" ",B57=" ")," ",IF(B56=" ",SUM(F$12:F54),IF(B57=" "," ",F56-E57)))</f>
        <v xml:space="preserve"> </v>
      </c>
      <c r="G57" s="201" t="str">
        <f>IF(AND(B55=" ",B56=" ",B57=" ")," ",IF(B56=" ",SUM(G$12:G55),IF(B58=" ",IF(E$5*E$7=B57,C57-C$7+C$8+G$10," "),C57)))</f>
        <v xml:space="preserve"> </v>
      </c>
      <c r="H57" s="204" t="str">
        <f>IF(AND(B55=" ",B56=" ",B57=" ")," ",IF(B56=" ",SUM(H$13:H55)*E$7,IF(B57=" "," ",IF(B58=" ",IF(E$5*E$7=B57,IRR(G$12:G57,0.01)," ")," "))))</f>
        <v xml:space="preserve"> </v>
      </c>
      <c r="I57" s="202" t="str">
        <f t="shared" si="1"/>
        <v/>
      </c>
      <c r="J57" s="202" t="str">
        <f t="shared" si="2"/>
        <v/>
      </c>
      <c r="K57" s="55"/>
      <c r="L57" s="56"/>
      <c r="O57" s="67"/>
      <c r="P57" s="67" t="str">
        <f>IF($A58="","",IF($A59="",IF(YEAR($A58)=2003,SUM($D$12:$D58),""),IF(AND(YEAR($A58)=2003,YEAR($A59)=2004),SUM($D$12:$D58,$D59*(P$8-$A58)/($A59-$A58)),"")))</f>
        <v/>
      </c>
      <c r="Q57" s="67" t="str">
        <f>IF(A58="","",IF(A59="",IF(YEAR(A58)=2004,SUM(D$12:D58),""),IF(AND(YEAR(A58)=2004,YEAR(A59)=2005),SUM(D$12:D58,D59*(Q$8-A58)/(A59-A58)),"")))</f>
        <v/>
      </c>
      <c r="R57" s="67" t="str">
        <f>IF(A58="","",IF(A59="",IF(YEAR(A58)=2005,SUM(D$12:D58),""),IF(AND(YEAR(A58)=2005,YEAR(A59)=2006),SUM(D$12:D58,D59*(R$8-A58)/(A59-A58)),"")))</f>
        <v/>
      </c>
      <c r="S57" s="67" t="str">
        <f>IF(A58="","",IF(A59="",IF(YEAR(A58)=2006,SUM(D$12:D58),""),IF(AND(YEAR(A58)=2006,YEAR(A59)=2007),SUM(D$12:D58,D59*(S$8-A58)/(A59-A58)),"")))</f>
        <v/>
      </c>
      <c r="T57" s="67" t="str">
        <f>IF(A58="","",IF(A59="",IF(YEAR(A58)=2007,SUM(D$12:D58),""),IF(AND(YEAR(A58)=2007,YEAR(A59)=2008),SUM(D$12:D58,D59*(T$8-A58)/(A59-A58)),"")))</f>
        <v/>
      </c>
      <c r="U57" s="67" t="str">
        <f>IF(A58="","",IF(A59="",IF(YEAR(A58)=2008,SUM(D$12:D58),""),IF(AND(YEAR(A58)=2008,YEAR(A59)=2009),SUM(D$12:D58,D59*(U$8-A58)/(A59-A58)),"")))</f>
        <v/>
      </c>
      <c r="V57" s="67" t="str">
        <f>IF(A58="","",IF(A59="",IF(YEAR(A58)=2009,SUM(D$12:D58),""),IF(AND(YEAR(A58)=2009,YEAR(A59)=2010),SUM(D$12:D58,D59*(V$8-A58)/(A59-A58)),"")))</f>
        <v/>
      </c>
      <c r="W57" s="67" t="str">
        <f>IF(A58="","",IF(A59="",IF(YEAR(A58)=2010,SUM(D$12:D58),""),IF(AND(YEAR(A58)=2010,YEAR(A59)=2011),SUM(D$12:D58,D59*(W$8-A58)/(A59-A58)),"")))</f>
        <v/>
      </c>
      <c r="X57" s="67" t="str">
        <f>IF(A58="","",IF(A59="",IF(YEAR(A58)=2011,SUM(D$12:D58),""),IF(AND(YEAR(A58)=2011,YEAR(A59)=2012),SUM(D$12:D58,D59*(X$8-A58)/(A59-A58)),"")))</f>
        <v/>
      </c>
      <c r="Y57" s="72" t="str">
        <f>IF(A58="","",IF(A59="",IF(YEAR(A58)=2012,SUM(D$12:D58),""),IF(AND(YEAR(A58)=2012,YEAR(A59)=2013),SUM(D$12:D58,D59*(Y$8-A58)/(A59-A58)),"")))</f>
        <v/>
      </c>
      <c r="Z57" s="67" t="str">
        <f>IF($A58="","",IF($A59="",IF(YEAR($A58)=2002,SUM($J$12:$J58),""),IF(AND(YEAR($A58)=2002,YEAR($A59)=2003),SUM($J$12:$J58,$J59*(O$8-$A58)/($A59-$A58)),"")))</f>
        <v/>
      </c>
      <c r="AA57" s="67" t="str">
        <f>IF($A58="","",IF($A59="",IF(YEAR($A58)=2003,SUM($J$12:$J58),""),IF(AND(YEAR($A58)=2003,YEAR($A59)=2004),SUM($J$12:$J58,$J59*(P$8-$A58)/($A59-$A58)),"")))</f>
        <v/>
      </c>
      <c r="AB57" s="67" t="str">
        <f>IF($A58="","",IF($A59="",IF(YEAR($A58)=2004,SUM($J$12:$J58),""),IF(AND(YEAR($A58)=2004,YEAR($A59)=2005),SUM($J$12:$J58,$J59*(Q$8-$A58)/($A59-$A58)),"")))</f>
        <v/>
      </c>
      <c r="AC57" s="67" t="str">
        <f>IF($A58="","",IF($A59="",IF(YEAR($A58)=2005,SUM($J$12:$J58),""),IF(AND(YEAR($A58)=2005,YEAR($A59)=2006),SUM($J$12:$J58,$J59*(R$8-$A58)/($A59-$A58)),"")))</f>
        <v/>
      </c>
      <c r="AD57" s="67" t="str">
        <f>IF($A58="","",IF($A59="",IF(YEAR($A58)=2006,SUM($J$12:$J58),""),IF(AND(YEAR($A58)=2006,YEAR($A59)=2007),SUM($J$12:$J58,$J59*(S$8-$A58)/($A59-$A58)),"")))</f>
        <v/>
      </c>
      <c r="AE57" s="67" t="str">
        <f>IF($A58="","",IF($A59="",IF(YEAR($A58)=2007,SUM($J$12:$J58),""),IF(AND(YEAR($A58)=2007,YEAR($A59)=2008),SUM($J$12:$J58,$J59*(T$8-$A58)/($A59-$A58)),"")))</f>
        <v/>
      </c>
      <c r="AF57" s="67" t="str">
        <f>IF($A58="","",IF($A59="",IF(YEAR($A58)=2008,SUM($J$12:$J58),""),IF(AND(YEAR($A58)=2008,YEAR($A59)=2009),SUM($J$12:$J58,$J59*(U$8-$A58)/($A59-$A58)),"")))</f>
        <v/>
      </c>
      <c r="AG57" s="67" t="str">
        <f>IF($A58="","",IF($A59="",IF(YEAR($A58)=2009,SUM($J$12:$J58),""),IF(AND(YEAR($A58)=2009,YEAR($A59)=2010),SUM($J$12:$J58,$J59*(V$8-$A58)/($A59-$A58)),"")))</f>
        <v/>
      </c>
      <c r="AH57" s="67" t="str">
        <f>IF($A58="","",IF($A59="",IF(YEAR($A58)=2010,SUM($J$12:$J58),""),IF(AND(YEAR($A58)=2010,YEAR($A59)=2011),SUM($J$12:$J58,$J59*(W$8-$A58)/($A59-$A58)),"")))</f>
        <v/>
      </c>
      <c r="AI57" s="67" t="str">
        <f>IF($A58="","",IF($A59="",IF(YEAR($A58)=2011,SUM($J$12:$J58),""),IF(AND(YEAR($A58)=2011,YEAR($A59)=2012),SUM($J$12:$J58,$J59*(X$8-$A58)/($A59-$A58)),"")))</f>
        <v/>
      </c>
      <c r="AJ57" s="67" t="str">
        <f>IF($A58="","",IF($A59="",IF(YEAR($A58)=2012,SUM($J$12:$J58),""),IF(AND(YEAR($A58)=2012,YEAR($A59)=2013),SUM($J$12:$J58,$J59*(Y$8-$A58)/($A59-$A58)),"")))</f>
        <v/>
      </c>
    </row>
    <row r="58" spans="1:36" x14ac:dyDescent="0.2">
      <c r="A58" s="309" t="str">
        <f t="shared" si="0"/>
        <v/>
      </c>
      <c r="B58" s="203" t="str">
        <f>IF($E$5*$E$7&lt;46," ",46)</f>
        <v xml:space="preserve"> </v>
      </c>
      <c r="C58" s="201" t="str">
        <f>IF(AND(B56=" ",B57=" ",B58=" ")," ",IF(B57=" ",SUM(C$13:C56),IF(B58=" "," ",D58+E58)))</f>
        <v xml:space="preserve"> </v>
      </c>
      <c r="D58" s="201" t="str">
        <f>IF(AND(B56=" ",B57=" ",B58=" ")," ",IF(B57=" ",SUM(D$13:D56),IF(B58=" "," ",ROUND(F57*E$6/E$7,2))))</f>
        <v xml:space="preserve"> </v>
      </c>
      <c r="E58" s="201" t="str">
        <f>IF(AND(B56=" ",B57=" ",B58=" ")," ",IF(B57=" ",SUM(E$13:E56),IF(B58=" "," ",E$8)))</f>
        <v xml:space="preserve"> </v>
      </c>
      <c r="F58" s="201" t="str">
        <f>IF(AND(B56=" ",B57=" ",B58=" ")," ",IF(B57=" ",SUM(F$12:F55),IF(B58=" "," ",F57-E58)))</f>
        <v xml:space="preserve"> </v>
      </c>
      <c r="G58" s="201" t="str">
        <f>IF(AND(B56=" ",B57=" ",B58=" ")," ",IF(B57=" ",SUM(G$12:G56),IF(B59=" ",IF(E$5*E$7=B58,C58-C$7+C$8+G$10," "),C58)))</f>
        <v xml:space="preserve"> </v>
      </c>
      <c r="H58" s="204" t="str">
        <f>IF(AND(B56=" ",B57=" ",B58=" ")," ",IF(B57=" ",SUM(H$13:H56)*E$7,IF(B58=" "," ",IF(B59=" ",IF(E$5*E$7=B58,IRR(G$12:G58,0.01)," ")," "))))</f>
        <v xml:space="preserve"> </v>
      </c>
      <c r="I58" s="202" t="str">
        <f t="shared" si="1"/>
        <v/>
      </c>
      <c r="J58" s="202" t="str">
        <f t="shared" si="2"/>
        <v/>
      </c>
      <c r="K58" s="55"/>
      <c r="L58" s="56"/>
      <c r="O58" s="67"/>
      <c r="P58" s="67" t="str">
        <f>IF($A59="","",IF($A60="",IF(YEAR($A59)=2003,SUM($D$12:$D59),""),IF(AND(YEAR($A59)=2003,YEAR($A60)=2004),SUM($D$12:$D59,$D60*(P$8-$A59)/($A60-$A59)),"")))</f>
        <v/>
      </c>
      <c r="Q58" s="67" t="str">
        <f>IF(A59="","",IF(A60="",IF(YEAR(A59)=2004,SUM(D$12:D59),""),IF(AND(YEAR(A59)=2004,YEAR(A60)=2005),SUM(D$12:D59,D60*(Q$8-A59)/(A60-A59)),"")))</f>
        <v/>
      </c>
      <c r="R58" s="67" t="str">
        <f>IF(A59="","",IF(A60="",IF(YEAR(A59)=2005,SUM(D$12:D59),""),IF(AND(YEAR(A59)=2005,YEAR(A60)=2006),SUM(D$12:D59,D60*(R$8-A59)/(A60-A59)),"")))</f>
        <v/>
      </c>
      <c r="S58" s="67" t="str">
        <f>IF(A59="","",IF(A60="",IF(YEAR(A59)=2006,SUM(D$12:D59),""),IF(AND(YEAR(A59)=2006,YEAR(A60)=2007),SUM(D$12:D59,D60*(S$8-A59)/(A60-A59)),"")))</f>
        <v/>
      </c>
      <c r="T58" s="67" t="str">
        <f>IF(A59="","",IF(A60="",IF(YEAR(A59)=2007,SUM(D$12:D59),""),IF(AND(YEAR(A59)=2007,YEAR(A60)=2008),SUM(D$12:D59,D60*(T$8-A59)/(A60-A59)),"")))</f>
        <v/>
      </c>
      <c r="U58" s="67" t="str">
        <f>IF(A59="","",IF(A60="",IF(YEAR(A59)=2008,SUM(D$12:D59),""),IF(AND(YEAR(A59)=2008,YEAR(A60)=2009),SUM(D$12:D59,D60*(U$8-A59)/(A60-A59)),"")))</f>
        <v/>
      </c>
      <c r="V58" s="67" t="str">
        <f>IF(A59="","",IF(A60="",IF(YEAR(A59)=2009,SUM(D$12:D59),""),IF(AND(YEAR(A59)=2009,YEAR(A60)=2010),SUM(D$12:D59,D60*(V$8-A59)/(A60-A59)),"")))</f>
        <v/>
      </c>
      <c r="W58" s="67" t="str">
        <f>IF(A59="","",IF(A60="",IF(YEAR(A59)=2010,SUM(D$12:D59),""),IF(AND(YEAR(A59)=2010,YEAR(A60)=2011),SUM(D$12:D59,D60*(W$8-A59)/(A60-A59)),"")))</f>
        <v/>
      </c>
      <c r="X58" s="67" t="str">
        <f>IF(A59="","",IF(A60="",IF(YEAR(A59)=2011,SUM(D$12:D59),""),IF(AND(YEAR(A59)=2011,YEAR(A60)=2012),SUM(D$12:D59,D60*(X$8-A59)/(A60-A59)),"")))</f>
        <v/>
      </c>
      <c r="Y58" s="72" t="str">
        <f>IF(A59="","",IF(A60="",IF(YEAR(A59)=2012,SUM(D$12:D59),""),IF(AND(YEAR(A59)=2012,YEAR(A60)=2013),SUM(D$12:D59,D60*(Y$8-A59)/(A60-A59)),"")))</f>
        <v/>
      </c>
      <c r="Z58" s="67" t="str">
        <f>IF($A59="","",IF($A60="",IF(YEAR($A59)=2002,SUM($J$12:$J59),""),IF(AND(YEAR($A59)=2002,YEAR($A60)=2003),SUM($J$12:$J59,$J60*(O$8-$A59)/($A60-$A59)),"")))</f>
        <v/>
      </c>
      <c r="AA58" s="67" t="str">
        <f>IF($A59="","",IF($A60="",IF(YEAR($A59)=2003,SUM($J$12:$J59),""),IF(AND(YEAR($A59)=2003,YEAR($A60)=2004),SUM($J$12:$J59,$J60*(P$8-$A59)/($A60-$A59)),"")))</f>
        <v/>
      </c>
      <c r="AB58" s="67" t="str">
        <f>IF($A59="","",IF($A60="",IF(YEAR($A59)=2004,SUM($J$12:$J59),""),IF(AND(YEAR($A59)=2004,YEAR($A60)=2005),SUM($J$12:$J59,$J60*(Q$8-$A59)/($A60-$A59)),"")))</f>
        <v/>
      </c>
      <c r="AC58" s="67" t="str">
        <f>IF($A59="","",IF($A60="",IF(YEAR($A59)=2005,SUM($J$12:$J59),""),IF(AND(YEAR($A59)=2005,YEAR($A60)=2006),SUM($J$12:$J59,$J60*(R$8-$A59)/($A60-$A59)),"")))</f>
        <v/>
      </c>
      <c r="AD58" s="67" t="str">
        <f>IF($A59="","",IF($A60="",IF(YEAR($A59)=2006,SUM($J$12:$J59),""),IF(AND(YEAR($A59)=2006,YEAR($A60)=2007),SUM($J$12:$J59,$J60*(S$8-$A59)/($A60-$A59)),"")))</f>
        <v/>
      </c>
      <c r="AE58" s="67" t="str">
        <f>IF($A59="","",IF($A60="",IF(YEAR($A59)=2007,SUM($J$12:$J59),""),IF(AND(YEAR($A59)=2007,YEAR($A60)=2008),SUM($J$12:$J59,$J60*(T$8-$A59)/($A60-$A59)),"")))</f>
        <v/>
      </c>
      <c r="AF58" s="67" t="str">
        <f>IF($A59="","",IF($A60="",IF(YEAR($A59)=2008,SUM($J$12:$J59),""),IF(AND(YEAR($A59)=2008,YEAR($A60)=2009),SUM($J$12:$J59,$J60*(U$8-$A59)/($A60-$A59)),"")))</f>
        <v/>
      </c>
      <c r="AG58" s="67" t="str">
        <f>IF($A59="","",IF($A60="",IF(YEAR($A59)=2009,SUM($J$12:$J59),""),IF(AND(YEAR($A59)=2009,YEAR($A60)=2010),SUM($J$12:$J59,$J60*(V$8-$A59)/($A60-$A59)),"")))</f>
        <v/>
      </c>
      <c r="AH58" s="67" t="str">
        <f>IF($A59="","",IF($A60="",IF(YEAR($A59)=2010,SUM($J$12:$J59),""),IF(AND(YEAR($A59)=2010,YEAR($A60)=2011),SUM($J$12:$J59,$J60*(W$8-$A59)/($A60-$A59)),"")))</f>
        <v/>
      </c>
      <c r="AI58" s="67" t="str">
        <f>IF($A59="","",IF($A60="",IF(YEAR($A59)=2011,SUM($J$12:$J59),""),IF(AND(YEAR($A59)=2011,YEAR($A60)=2012),SUM($J$12:$J59,$J60*(X$8-$A59)/($A60-$A59)),"")))</f>
        <v/>
      </c>
      <c r="AJ58" s="67" t="str">
        <f>IF($A59="","",IF($A60="",IF(YEAR($A59)=2012,SUM($J$12:$J59),""),IF(AND(YEAR($A59)=2012,YEAR($A60)=2013),SUM($J$12:$J59,$J60*(Y$8-$A59)/($A60-$A59)),"")))</f>
        <v/>
      </c>
    </row>
    <row r="59" spans="1:36" x14ac:dyDescent="0.2">
      <c r="A59" s="309" t="str">
        <f t="shared" si="0"/>
        <v/>
      </c>
      <c r="B59" s="203" t="str">
        <f>IF($E$5*$E$7&lt;47," ",47)</f>
        <v xml:space="preserve"> </v>
      </c>
      <c r="C59" s="201" t="str">
        <f>IF(AND(B57=" ",B58=" ",B59=" ")," ",IF(B58=" ",SUM(C$13:C57),IF(B59=" "," ",D59+E59)))</f>
        <v xml:space="preserve"> </v>
      </c>
      <c r="D59" s="201" t="str">
        <f>IF(AND(B57=" ",B58=" ",B59=" ")," ",IF(B58=" ",SUM(D$13:D57),IF(B59=" "," ",ROUND(F58*E$6/E$7,2))))</f>
        <v xml:space="preserve"> </v>
      </c>
      <c r="E59" s="201" t="str">
        <f>IF(AND(B57=" ",B58=" ",B59=" ")," ",IF(B58=" ",SUM(E$13:E57),IF(B59=" "," ",E$8)))</f>
        <v xml:space="preserve"> </v>
      </c>
      <c r="F59" s="201" t="str">
        <f>IF(AND(B57=" ",B58=" ",B59=" ")," ",IF(B58=" ",SUM(F$12:F56),IF(B59=" "," ",F58-E59)))</f>
        <v xml:space="preserve"> </v>
      </c>
      <c r="G59" s="201" t="str">
        <f>IF(AND(B57=" ",B58=" ",B59=" ")," ",IF(B58=" ",SUM(G$12:G57),IF(B60=" ",IF(E$5*E$7=B59,C59-C$7+C$8+G$10," "),C59)))</f>
        <v xml:space="preserve"> </v>
      </c>
      <c r="H59" s="204" t="str">
        <f>IF(AND(B57=" ",B58=" ",B59=" ")," ",IF(B58=" ",SUM(H$13:H57)*E$7,IF(B59=" "," ",IF(B60=" ",IF(E$5*E$7=B59,IRR(G$12:G59,0.01)," ")," "))))</f>
        <v xml:space="preserve"> </v>
      </c>
      <c r="I59" s="202" t="str">
        <f t="shared" si="1"/>
        <v/>
      </c>
      <c r="J59" s="202" t="str">
        <f t="shared" si="2"/>
        <v/>
      </c>
      <c r="K59" s="55"/>
      <c r="L59" s="56"/>
      <c r="O59" s="67"/>
      <c r="P59" s="67" t="str">
        <f>IF($A60="","",IF($A61="",IF(YEAR($A60)=2003,SUM($D$12:$D60),""),IF(AND(YEAR($A60)=2003,YEAR($A61)=2004),SUM($D$12:$D60,$D61*(P$8-$A60)/($A61-$A60)),"")))</f>
        <v/>
      </c>
      <c r="Q59" s="67" t="str">
        <f>IF(A60="","",IF(A61="",IF(YEAR(A60)=2004,SUM(D$12:D60),""),IF(AND(YEAR(A60)=2004,YEAR(A61)=2005),SUM(D$12:D60,D61*(Q$8-A60)/(A61-A60)),"")))</f>
        <v/>
      </c>
      <c r="R59" s="67" t="str">
        <f>IF(A60="","",IF(A61="",IF(YEAR(A60)=2005,SUM(D$12:D60),""),IF(AND(YEAR(A60)=2005,YEAR(A61)=2006),SUM(D$12:D60,D61*(R$8-A60)/(A61-A60)),"")))</f>
        <v/>
      </c>
      <c r="S59" s="67" t="str">
        <f>IF(A60="","",IF(A61="",IF(YEAR(A60)=2006,SUM(D$12:D60),""),IF(AND(YEAR(A60)=2006,YEAR(A61)=2007),SUM(D$12:D60,D61*(S$8-A60)/(A61-A60)),"")))</f>
        <v/>
      </c>
      <c r="T59" s="67" t="str">
        <f>IF(A60="","",IF(A61="",IF(YEAR(A60)=2007,SUM(D$12:D60),""),IF(AND(YEAR(A60)=2007,YEAR(A61)=2008),SUM(D$12:D60,D61*(T$8-A60)/(A61-A60)),"")))</f>
        <v/>
      </c>
      <c r="U59" s="67" t="str">
        <f>IF(A60="","",IF(A61="",IF(YEAR(A60)=2008,SUM(D$12:D60),""),IF(AND(YEAR(A60)=2008,YEAR(A61)=2009),SUM(D$12:D60,D61*(U$8-A60)/(A61-A60)),"")))</f>
        <v/>
      </c>
      <c r="V59" s="67" t="str">
        <f>IF(A60="","",IF(A61="",IF(YEAR(A60)=2009,SUM(D$12:D60),""),IF(AND(YEAR(A60)=2009,YEAR(A61)=2010),SUM(D$12:D60,D61*(V$8-A60)/(A61-A60)),"")))</f>
        <v/>
      </c>
      <c r="W59" s="67" t="str">
        <f>IF(A60="","",IF(A61="",IF(YEAR(A60)=2010,SUM(D$12:D60),""),IF(AND(YEAR(A60)=2010,YEAR(A61)=2011),SUM(D$12:D60,D61*(W$8-A60)/(A61-A60)),"")))</f>
        <v/>
      </c>
      <c r="X59" s="67" t="str">
        <f>IF(A60="","",IF(A61="",IF(YEAR(A60)=2011,SUM(D$12:D60),""),IF(AND(YEAR(A60)=2011,YEAR(A61)=2012),SUM(D$12:D60,D61*(X$8-A60)/(A61-A60)),"")))</f>
        <v/>
      </c>
      <c r="Y59" s="72" t="str">
        <f>IF(A60="","",IF(A61="",IF(YEAR(A60)=2012,SUM(D$12:D60),""),IF(AND(YEAR(A60)=2012,YEAR(A61)=2013),SUM(D$12:D60,D61*(Y$8-A60)/(A61-A60)),"")))</f>
        <v/>
      </c>
      <c r="Z59" s="67" t="str">
        <f>IF($A60="","",IF($A61="",IF(YEAR($A60)=2002,SUM($J$12:$J60),""),IF(AND(YEAR($A60)=2002,YEAR($A61)=2003),SUM($J$12:$J60,$J61*(O$8-$A60)/($A61-$A60)),"")))</f>
        <v/>
      </c>
      <c r="AA59" s="67" t="str">
        <f>IF($A60="","",IF($A61="",IF(YEAR($A60)=2003,SUM($J$12:$J60),""),IF(AND(YEAR($A60)=2003,YEAR($A61)=2004),SUM($J$12:$J60,$J61*(P$8-$A60)/($A61-$A60)),"")))</f>
        <v/>
      </c>
      <c r="AB59" s="67" t="str">
        <f>IF($A60="","",IF($A61="",IF(YEAR($A60)=2004,SUM($J$12:$J60),""),IF(AND(YEAR($A60)=2004,YEAR($A61)=2005),SUM($J$12:$J60,$J61*(Q$8-$A60)/($A61-$A60)),"")))</f>
        <v/>
      </c>
      <c r="AC59" s="67" t="str">
        <f>IF($A60="","",IF($A61="",IF(YEAR($A60)=2005,SUM($J$12:$J60),""),IF(AND(YEAR($A60)=2005,YEAR($A61)=2006),SUM($J$12:$J60,$J61*(R$8-$A60)/($A61-$A60)),"")))</f>
        <v/>
      </c>
      <c r="AD59" s="67" t="str">
        <f>IF($A60="","",IF($A61="",IF(YEAR($A60)=2006,SUM($J$12:$J60),""),IF(AND(YEAR($A60)=2006,YEAR($A61)=2007),SUM($J$12:$J60,$J61*(S$8-$A60)/($A61-$A60)),"")))</f>
        <v/>
      </c>
      <c r="AE59" s="67" t="str">
        <f>IF($A60="","",IF($A61="",IF(YEAR($A60)=2007,SUM($J$12:$J60),""),IF(AND(YEAR($A60)=2007,YEAR($A61)=2008),SUM($J$12:$J60,$J61*(T$8-$A60)/($A61-$A60)),"")))</f>
        <v/>
      </c>
      <c r="AF59" s="67" t="str">
        <f>IF($A60="","",IF($A61="",IF(YEAR($A60)=2008,SUM($J$12:$J60),""),IF(AND(YEAR($A60)=2008,YEAR($A61)=2009),SUM($J$12:$J60,$J61*(U$8-$A60)/($A61-$A60)),"")))</f>
        <v/>
      </c>
      <c r="AG59" s="67" t="str">
        <f>IF($A60="","",IF($A61="",IF(YEAR($A60)=2009,SUM($J$12:$J60),""),IF(AND(YEAR($A60)=2009,YEAR($A61)=2010),SUM($J$12:$J60,$J61*(V$8-$A60)/($A61-$A60)),"")))</f>
        <v/>
      </c>
      <c r="AH59" s="67" t="str">
        <f>IF($A60="","",IF($A61="",IF(YEAR($A60)=2010,SUM($J$12:$J60),""),IF(AND(YEAR($A60)=2010,YEAR($A61)=2011),SUM($J$12:$J60,$J61*(W$8-$A60)/($A61-$A60)),"")))</f>
        <v/>
      </c>
      <c r="AI59" s="67" t="str">
        <f>IF($A60="","",IF($A61="",IF(YEAR($A60)=2011,SUM($J$12:$J60),""),IF(AND(YEAR($A60)=2011,YEAR($A61)=2012),SUM($J$12:$J60,$J61*(X$8-$A60)/($A61-$A60)),"")))</f>
        <v/>
      </c>
      <c r="AJ59" s="67" t="str">
        <f>IF($A60="","",IF($A61="",IF(YEAR($A60)=2012,SUM($J$12:$J60),""),IF(AND(YEAR($A60)=2012,YEAR($A61)=2013),SUM($J$12:$J60,$J61*(Y$8-$A60)/($A61-$A60)),"")))</f>
        <v/>
      </c>
    </row>
    <row r="60" spans="1:36" x14ac:dyDescent="0.2">
      <c r="A60" s="309" t="str">
        <f t="shared" si="0"/>
        <v/>
      </c>
      <c r="B60" s="203" t="str">
        <f>IF($E$5*$E$7&lt;48," ",48)</f>
        <v xml:space="preserve"> </v>
      </c>
      <c r="C60" s="201" t="str">
        <f>IF(AND(B58=" ",B59=" ",B60=" ")," ",IF(B59=" ",SUM(C$13:C58),IF(B60=" "," ",D60+E60)))</f>
        <v xml:space="preserve"> </v>
      </c>
      <c r="D60" s="201" t="str">
        <f>IF(AND(B58=" ",B59=" ",B60=" ")," ",IF(B59=" ",SUM(D$13:D58),IF(B60=" "," ",ROUND(F59*E$6/E$7,2))))</f>
        <v xml:space="preserve"> </v>
      </c>
      <c r="E60" s="201" t="str">
        <f>IF(AND(B58=" ",B59=" ",B60=" ")," ",IF(B59=" ",SUM(E$13:E58),IF(B60=" "," ",E$8)))</f>
        <v xml:space="preserve"> </v>
      </c>
      <c r="F60" s="201" t="str">
        <f>IF(AND(B58=" ",B59=" ",B60=" ")," ",IF(B59=" ",SUM(F$12:F57),IF(B60=" "," ",F59-E60)))</f>
        <v xml:space="preserve"> </v>
      </c>
      <c r="G60" s="201" t="str">
        <f>IF(AND(B58=" ",B59=" ",B60=" ")," ",IF(B59=" ",SUM(G$12:G58),IF(B61=" ",IF(E$5*E$7=B60,C60-C$7+C$8+G$10," "),C60)))</f>
        <v xml:space="preserve"> </v>
      </c>
      <c r="H60" s="204" t="str">
        <f>IF(AND(B58=" ",B59=" ",B60=" ")," ",IF(B59=" ",SUM(H$13:H58)*E$7,IF(B60=" "," ",IF(B61=" ",IF(E$5*E$7=B60,IRR(G$12:G60,0.01)," ")," "))))</f>
        <v xml:space="preserve"> </v>
      </c>
      <c r="I60" s="202" t="str">
        <f t="shared" si="1"/>
        <v/>
      </c>
      <c r="J60" s="202" t="str">
        <f t="shared" si="2"/>
        <v/>
      </c>
      <c r="K60" s="55"/>
      <c r="L60" s="56"/>
      <c r="O60" s="67"/>
      <c r="P60" s="67" t="str">
        <f>IF($A61="","",IF($A62="",IF(YEAR($A61)=2003,SUM($D$12:$D61),""),IF(AND(YEAR($A61)=2003,YEAR($A62)=2004),SUM($D$12:$D61,$D62*(P$8-$A61)/($A62-$A61)),"")))</f>
        <v/>
      </c>
      <c r="Q60" s="67" t="str">
        <f>IF(A61="","",IF(A62="",IF(YEAR(A61)=2004,SUM(D$12:D61),""),IF(AND(YEAR(A61)=2004,YEAR(A62)=2005),SUM(D$12:D61,D62*(Q$8-A61)/(A62-A61)),"")))</f>
        <v/>
      </c>
      <c r="R60" s="67" t="str">
        <f>IF(A61="","",IF(A62="",IF(YEAR(A61)=2005,SUM(D$12:D61),""),IF(AND(YEAR(A61)=2005,YEAR(A62)=2006),SUM(D$12:D61,D62*(R$8-A61)/(A62-A61)),"")))</f>
        <v/>
      </c>
      <c r="S60" s="67" t="str">
        <f>IF(A61="","",IF(A62="",IF(YEAR(A61)=2006,SUM(D$12:D61),""),IF(AND(YEAR(A61)=2006,YEAR(A62)=2007),SUM(D$12:D61,D62*(S$8-A61)/(A62-A61)),"")))</f>
        <v/>
      </c>
      <c r="T60" s="67" t="str">
        <f>IF(A61="","",IF(A62="",IF(YEAR(A61)=2007,SUM(D$12:D61),""),IF(AND(YEAR(A61)=2007,YEAR(A62)=2008),SUM(D$12:D61,D62*(T$8-A61)/(A62-A61)),"")))</f>
        <v/>
      </c>
      <c r="U60" s="67" t="str">
        <f>IF(A61="","",IF(A62="",IF(YEAR(A61)=2008,SUM(D$12:D61),""),IF(AND(YEAR(A61)=2008,YEAR(A62)=2009),SUM(D$12:D61,D62*(U$8-A61)/(A62-A61)),"")))</f>
        <v/>
      </c>
      <c r="V60" s="67" t="str">
        <f>IF(A61="","",IF(A62="",IF(YEAR(A61)=2009,SUM(D$12:D61),""),IF(AND(YEAR(A61)=2009,YEAR(A62)=2010),SUM(D$12:D61,D62*(V$8-A61)/(A62-A61)),"")))</f>
        <v/>
      </c>
      <c r="W60" s="67" t="str">
        <f>IF(A61="","",IF(A62="",IF(YEAR(A61)=2010,SUM(D$12:D61),""),IF(AND(YEAR(A61)=2010,YEAR(A62)=2011),SUM(D$12:D61,D62*(W$8-A61)/(A62-A61)),"")))</f>
        <v/>
      </c>
      <c r="X60" s="67" t="str">
        <f>IF(A61="","",IF(A62="",IF(YEAR(A61)=2011,SUM(D$12:D61),""),IF(AND(YEAR(A61)=2011,YEAR(A62)=2012),SUM(D$12:D61,D62*(X$8-A61)/(A62-A61)),"")))</f>
        <v/>
      </c>
      <c r="Y60" s="72" t="str">
        <f>IF(A61="","",IF(A62="",IF(YEAR(A61)=2012,SUM(D$12:D61),""),IF(AND(YEAR(A61)=2012,YEAR(A62)=2013),SUM(D$12:D61,D62*(Y$8-A61)/(A62-A61)),"")))</f>
        <v/>
      </c>
      <c r="Z60" s="67" t="str">
        <f>IF($A61="","",IF($A62="",IF(YEAR($A61)=2002,SUM($J$12:$J61),""),IF(AND(YEAR($A61)=2002,YEAR($A62)=2003),SUM($J$12:$J61,$J62*(O$8-$A61)/($A62-$A61)),"")))</f>
        <v/>
      </c>
      <c r="AA60" s="67" t="str">
        <f>IF($A61="","",IF($A62="",IF(YEAR($A61)=2003,SUM($J$12:$J61),""),IF(AND(YEAR($A61)=2003,YEAR($A62)=2004),SUM($J$12:$J61,$J62*(P$8-$A61)/($A62-$A61)),"")))</f>
        <v/>
      </c>
      <c r="AB60" s="67" t="str">
        <f>IF($A61="","",IF($A62="",IF(YEAR($A61)=2004,SUM($J$12:$J61),""),IF(AND(YEAR($A61)=2004,YEAR($A62)=2005),SUM($J$12:$J61,$J62*(Q$8-$A61)/($A62-$A61)),"")))</f>
        <v/>
      </c>
      <c r="AC60" s="67" t="str">
        <f>IF($A61="","",IF($A62="",IF(YEAR($A61)=2005,SUM($J$12:$J61),""),IF(AND(YEAR($A61)=2005,YEAR($A62)=2006),SUM($J$12:$J61,$J62*(R$8-$A61)/($A62-$A61)),"")))</f>
        <v/>
      </c>
      <c r="AD60" s="67" t="str">
        <f>IF($A61="","",IF($A62="",IF(YEAR($A61)=2006,SUM($J$12:$J61),""),IF(AND(YEAR($A61)=2006,YEAR($A62)=2007),SUM($J$12:$J61,$J62*(S$8-$A61)/($A62-$A61)),"")))</f>
        <v/>
      </c>
      <c r="AE60" s="67" t="str">
        <f>IF($A61="","",IF($A62="",IF(YEAR($A61)=2007,SUM($J$12:$J61),""),IF(AND(YEAR($A61)=2007,YEAR($A62)=2008),SUM($J$12:$J61,$J62*(T$8-$A61)/($A62-$A61)),"")))</f>
        <v/>
      </c>
      <c r="AF60" s="67" t="str">
        <f>IF($A61="","",IF($A62="",IF(YEAR($A61)=2008,SUM($J$12:$J61),""),IF(AND(YEAR($A61)=2008,YEAR($A62)=2009),SUM($J$12:$J61,$J62*(U$8-$A61)/($A62-$A61)),"")))</f>
        <v/>
      </c>
      <c r="AG60" s="67" t="str">
        <f>IF($A61="","",IF($A62="",IF(YEAR($A61)=2009,SUM($J$12:$J61),""),IF(AND(YEAR($A61)=2009,YEAR($A62)=2010),SUM($J$12:$J61,$J62*(V$8-$A61)/($A62-$A61)),"")))</f>
        <v/>
      </c>
      <c r="AH60" s="67" t="str">
        <f>IF($A61="","",IF($A62="",IF(YEAR($A61)=2010,SUM($J$12:$J61),""),IF(AND(YEAR($A61)=2010,YEAR($A62)=2011),SUM($J$12:$J61,$J62*(W$8-$A61)/($A62-$A61)),"")))</f>
        <v/>
      </c>
      <c r="AI60" s="67" t="str">
        <f>IF($A61="","",IF($A62="",IF(YEAR($A61)=2011,SUM($J$12:$J61),""),IF(AND(YEAR($A61)=2011,YEAR($A62)=2012),SUM($J$12:$J61,$J62*(X$8-$A61)/($A62-$A61)),"")))</f>
        <v/>
      </c>
      <c r="AJ60" s="67" t="str">
        <f>IF($A61="","",IF($A62="",IF(YEAR($A61)=2012,SUM($J$12:$J61),""),IF(AND(YEAR($A61)=2012,YEAR($A62)=2013),SUM($J$12:$J61,$J62*(Y$8-$A61)/($A62-$A61)),"")))</f>
        <v/>
      </c>
    </row>
    <row r="61" spans="1:36" x14ac:dyDescent="0.2">
      <c r="A61" s="309" t="str">
        <f t="shared" si="0"/>
        <v/>
      </c>
      <c r="B61" s="203" t="str">
        <f>IF($E$5*$E$7&lt;49," ",49)</f>
        <v xml:space="preserve"> </v>
      </c>
      <c r="C61" s="201" t="str">
        <f>IF(AND(B59=" ",B60=" ",B61=" ")," ",IF(B60=" ",SUM(C$13:C59),IF(B61=" "," ",D61+E61)))</f>
        <v xml:space="preserve"> </v>
      </c>
      <c r="D61" s="201" t="str">
        <f>IF(AND(B59=" ",B60=" ",B61=" ")," ",IF(B60=" ",SUM(D$13:D59),IF(B61=" "," ",ROUND(F60*E$6/E$7,2))))</f>
        <v xml:space="preserve"> </v>
      </c>
      <c r="E61" s="201" t="str">
        <f>IF(AND(B59=" ",B60=" ",B61=" ")," ",IF(B60=" ",SUM(E$13:E59),IF(B61=" "," ",E$8)))</f>
        <v xml:space="preserve"> </v>
      </c>
      <c r="F61" s="201" t="str">
        <f>IF(AND(B59=" ",B60=" ",B61=" ")," ",IF(B60=" ",SUM(F$12:F58),IF(B61=" "," ",F60-E61)))</f>
        <v xml:space="preserve"> </v>
      </c>
      <c r="G61" s="201" t="str">
        <f>IF(AND(B59=" ",B60=" ",B61=" ")," ",IF(B60=" ",SUM(G$12:G59),IF(B62=" ",IF(E$5*E$7=B61,C61-C$7+C$8+G$10," "),C61)))</f>
        <v xml:space="preserve"> </v>
      </c>
      <c r="H61" s="204" t="str">
        <f>IF(AND(B59=" ",B60=" ",B61=" ")," ",IF(B60=" ",SUM(H$13:H59)*E$7,IF(B61=" "," ",IF(B62=" ",IF(E$5*E$7=B61,IRR(G$12:G61,0.01)," ")," "))))</f>
        <v xml:space="preserve"> </v>
      </c>
      <c r="I61" s="202" t="str">
        <f t="shared" si="1"/>
        <v/>
      </c>
      <c r="J61" s="202" t="str">
        <f t="shared" si="2"/>
        <v/>
      </c>
      <c r="K61" s="55"/>
      <c r="L61" s="56"/>
      <c r="O61" s="67"/>
      <c r="P61" s="67" t="str">
        <f>IF($A62="","",IF($A63="",IF(YEAR($A62)=2003,SUM($D$12:$D62),""),IF(AND(YEAR($A62)=2003,YEAR($A63)=2004),SUM($D$12:$D62,$D63*(P$8-$A62)/($A63-$A62)),"")))</f>
        <v/>
      </c>
      <c r="Q61" s="67" t="str">
        <f>IF(A62="","",IF(A63="",IF(YEAR(A62)=2004,SUM(D$12:D62),""),IF(AND(YEAR(A62)=2004,YEAR(A63)=2005),SUM(D$12:D62,D63*(Q$8-A62)/(A63-A62)),"")))</f>
        <v/>
      </c>
      <c r="R61" s="67" t="str">
        <f>IF(A62="","",IF(A63="",IF(YEAR(A62)=2005,SUM(D$12:D62),""),IF(AND(YEAR(A62)=2005,YEAR(A63)=2006),SUM(D$12:D62,D63*(R$8-A62)/(A63-A62)),"")))</f>
        <v/>
      </c>
      <c r="S61" s="67" t="str">
        <f>IF(A62="","",IF(A63="",IF(YEAR(A62)=2006,SUM(D$12:D62),""),IF(AND(YEAR(A62)=2006,YEAR(A63)=2007),SUM(D$12:D62,D63*(S$8-A62)/(A63-A62)),"")))</f>
        <v/>
      </c>
      <c r="T61" s="67" t="str">
        <f>IF(A62="","",IF(A63="",IF(YEAR(A62)=2007,SUM(D$12:D62),""),IF(AND(YEAR(A62)=2007,YEAR(A63)=2008),SUM(D$12:D62,D63*(T$8-A62)/(A63-A62)),"")))</f>
        <v/>
      </c>
      <c r="U61" s="67" t="str">
        <f>IF(A62="","",IF(A63="",IF(YEAR(A62)=2008,SUM(D$12:D62),""),IF(AND(YEAR(A62)=2008,YEAR(A63)=2009),SUM(D$12:D62,D63*(U$8-A62)/(A63-A62)),"")))</f>
        <v/>
      </c>
      <c r="V61" s="67" t="str">
        <f>IF(A62="","",IF(A63="",IF(YEAR(A62)=2009,SUM(D$12:D62),""),IF(AND(YEAR(A62)=2009,YEAR(A63)=2010),SUM(D$12:D62,D63*(V$8-A62)/(A63-A62)),"")))</f>
        <v/>
      </c>
      <c r="W61" s="67" t="str">
        <f>IF(A62="","",IF(A63="",IF(YEAR(A62)=2010,SUM(D$12:D62),""),IF(AND(YEAR(A62)=2010,YEAR(A63)=2011),SUM(D$12:D62,D63*(W$8-A62)/(A63-A62)),"")))</f>
        <v/>
      </c>
      <c r="X61" s="67" t="str">
        <f>IF(A62="","",IF(A63="",IF(YEAR(A62)=2011,SUM(D$12:D62),""),IF(AND(YEAR(A62)=2011,YEAR(A63)=2012),SUM(D$12:D62,D63*(X$8-A62)/(A63-A62)),"")))</f>
        <v/>
      </c>
      <c r="Y61" s="72" t="str">
        <f>IF(A62="","",IF(A63="",IF(YEAR(A62)=2012,SUM(D$12:D62),""),IF(AND(YEAR(A62)=2012,YEAR(A63)=2013),SUM(D$12:D62,D63*(Y$8-A62)/(A63-A62)),"")))</f>
        <v/>
      </c>
      <c r="Z61" s="67" t="str">
        <f>IF($A62="","",IF($A63="",IF(YEAR($A62)=2002,SUM($J$12:$J62),""),IF(AND(YEAR($A62)=2002,YEAR($A63)=2003),SUM($J$12:$J62,$J63*(O$8-$A62)/($A63-$A62)),"")))</f>
        <v/>
      </c>
      <c r="AA61" s="67" t="str">
        <f>IF($A62="","",IF($A63="",IF(YEAR($A62)=2003,SUM($J$12:$J62),""),IF(AND(YEAR($A62)=2003,YEAR($A63)=2004),SUM($J$12:$J62,$J63*(P$8-$A62)/($A63-$A62)),"")))</f>
        <v/>
      </c>
      <c r="AB61" s="67" t="str">
        <f>IF($A62="","",IF($A63="",IF(YEAR($A62)=2004,SUM($J$12:$J62),""),IF(AND(YEAR($A62)=2004,YEAR($A63)=2005),SUM($J$12:$J62,$J63*(Q$8-$A62)/($A63-$A62)),"")))</f>
        <v/>
      </c>
      <c r="AC61" s="67" t="str">
        <f>IF($A62="","",IF($A63="",IF(YEAR($A62)=2005,SUM($J$12:$J62),""),IF(AND(YEAR($A62)=2005,YEAR($A63)=2006),SUM($J$12:$J62,$J63*(R$8-$A62)/($A63-$A62)),"")))</f>
        <v/>
      </c>
      <c r="AD61" s="67" t="str">
        <f>IF($A62="","",IF($A63="",IF(YEAR($A62)=2006,SUM($J$12:$J62),""),IF(AND(YEAR($A62)=2006,YEAR($A63)=2007),SUM($J$12:$J62,$J63*(S$8-$A62)/($A63-$A62)),"")))</f>
        <v/>
      </c>
      <c r="AE61" s="67" t="str">
        <f>IF($A62="","",IF($A63="",IF(YEAR($A62)=2007,SUM($J$12:$J62),""),IF(AND(YEAR($A62)=2007,YEAR($A63)=2008),SUM($J$12:$J62,$J63*(T$8-$A62)/($A63-$A62)),"")))</f>
        <v/>
      </c>
      <c r="AF61" s="67" t="str">
        <f>IF($A62="","",IF($A63="",IF(YEAR($A62)=2008,SUM($J$12:$J62),""),IF(AND(YEAR($A62)=2008,YEAR($A63)=2009),SUM($J$12:$J62,$J63*(U$8-$A62)/($A63-$A62)),"")))</f>
        <v/>
      </c>
      <c r="AG61" s="67" t="str">
        <f>IF($A62="","",IF($A63="",IF(YEAR($A62)=2009,SUM($J$12:$J62),""),IF(AND(YEAR($A62)=2009,YEAR($A63)=2010),SUM($J$12:$J62,$J63*(V$8-$A62)/($A63-$A62)),"")))</f>
        <v/>
      </c>
      <c r="AH61" s="67" t="str">
        <f>IF($A62="","",IF($A63="",IF(YEAR($A62)=2010,SUM($J$12:$J62),""),IF(AND(YEAR($A62)=2010,YEAR($A63)=2011),SUM($J$12:$J62,$J63*(W$8-$A62)/($A63-$A62)),"")))</f>
        <v/>
      </c>
      <c r="AI61" s="67" t="str">
        <f>IF($A62="","",IF($A63="",IF(YEAR($A62)=2011,SUM($J$12:$J62),""),IF(AND(YEAR($A62)=2011,YEAR($A63)=2012),SUM($J$12:$J62,$J63*(X$8-$A62)/($A63-$A62)),"")))</f>
        <v/>
      </c>
      <c r="AJ61" s="67" t="str">
        <f>IF($A62="","",IF($A63="",IF(YEAR($A62)=2012,SUM($J$12:$J62),""),IF(AND(YEAR($A62)=2012,YEAR($A63)=2013),SUM($J$12:$J62,$J63*(Y$8-$A62)/($A63-$A62)),"")))</f>
        <v/>
      </c>
    </row>
    <row r="62" spans="1:36" x14ac:dyDescent="0.2">
      <c r="A62" s="309" t="str">
        <f t="shared" si="0"/>
        <v/>
      </c>
      <c r="B62" s="203" t="str">
        <f>IF($E$5*$E$7&lt;50," ",50)</f>
        <v xml:space="preserve"> </v>
      </c>
      <c r="C62" s="201" t="str">
        <f>IF(AND(B60=" ",B61=" ",B62=" ")," ",IF(B61=" ",SUM(C$13:C60),IF(B62=" "," ",D62+E62)))</f>
        <v xml:space="preserve"> </v>
      </c>
      <c r="D62" s="201" t="str">
        <f>IF(AND(B60=" ",B61=" ",B62=" ")," ",IF(B61=" ",SUM(D$13:D60),IF(B62=" "," ",ROUND(F61*E$6/E$7,2))))</f>
        <v xml:space="preserve"> </v>
      </c>
      <c r="E62" s="201" t="str">
        <f>IF(AND(B60=" ",B61=" ",B62=" ")," ",IF(B61=" ",SUM(E$13:E60),IF(B62=" "," ",E$8)))</f>
        <v xml:space="preserve"> </v>
      </c>
      <c r="F62" s="201" t="str">
        <f>IF(AND(B60=" ",B61=" ",B62=" ")," ",IF(B61=" ",SUM(F$12:F59),IF(B62=" "," ",F61-E62)))</f>
        <v xml:space="preserve"> </v>
      </c>
      <c r="G62" s="201" t="str">
        <f>IF(AND(B60=" ",B61=" ",B62=" ")," ",IF(B61=" ",SUM(G$12:G60),IF(B63=" ",IF(E$5*E$7=B62,C62-C$7+C$8+G$10," "),C62)))</f>
        <v xml:space="preserve"> </v>
      </c>
      <c r="H62" s="204" t="str">
        <f>IF(AND(B60=" ",B61=" ",B62=" ")," ",IF(B61=" ",SUM(H$13:H60)*E$7,IF(B62=" "," ",IF(B63=" ",IF(E$5*E$7=B62,IRR(G$12:G62,0.01)," ")," "))))</f>
        <v xml:space="preserve"> </v>
      </c>
      <c r="I62" s="202" t="str">
        <f t="shared" si="1"/>
        <v/>
      </c>
      <c r="J62" s="202" t="str">
        <f t="shared" si="2"/>
        <v/>
      </c>
      <c r="K62" s="55"/>
      <c r="L62" s="56"/>
      <c r="O62" s="67"/>
      <c r="P62" s="67" t="str">
        <f>IF($A63="","",IF($A64="",IF(YEAR($A63)=2003,SUM($D$12:$D63),""),IF(AND(YEAR($A63)=2003,YEAR($A64)=2004),SUM($D$12:$D63,$D64*(P$8-$A63)/($A64-$A63)),"")))</f>
        <v/>
      </c>
      <c r="Q62" s="67" t="str">
        <f>IF(A63="","",IF(A64="",IF(YEAR(A63)=2004,SUM(D$12:D63),""),IF(AND(YEAR(A63)=2004,YEAR(A64)=2005),SUM(D$12:D63,D64*(Q$8-A63)/(A64-A63)),"")))</f>
        <v/>
      </c>
      <c r="R62" s="67" t="str">
        <f>IF(A63="","",IF(A64="",IF(YEAR(A63)=2005,SUM(D$12:D63),""),IF(AND(YEAR(A63)=2005,YEAR(A64)=2006),SUM(D$12:D63,D64*(R$8-A63)/(A64-A63)),"")))</f>
        <v/>
      </c>
      <c r="S62" s="67" t="str">
        <f>IF(A63="","",IF(A64="",IF(YEAR(A63)=2006,SUM(D$12:D63),""),IF(AND(YEAR(A63)=2006,YEAR(A64)=2007),SUM(D$12:D63,D64*(S$8-A63)/(A64-A63)),"")))</f>
        <v/>
      </c>
      <c r="T62" s="67" t="str">
        <f>IF(A63="","",IF(A64="",IF(YEAR(A63)=2007,SUM(D$12:D63),""),IF(AND(YEAR(A63)=2007,YEAR(A64)=2008),SUM(D$12:D63,D64*(T$8-A63)/(A64-A63)),"")))</f>
        <v/>
      </c>
      <c r="U62" s="67" t="str">
        <f>IF(A63="","",IF(A64="",IF(YEAR(A63)=2008,SUM(D$12:D63),""),IF(AND(YEAR(A63)=2008,YEAR(A64)=2009),SUM(D$12:D63,D64*(U$8-A63)/(A64-A63)),"")))</f>
        <v/>
      </c>
      <c r="V62" s="67" t="str">
        <f>IF(A63="","",IF(A64="",IF(YEAR(A63)=2009,SUM(D$12:D63),""),IF(AND(YEAR(A63)=2009,YEAR(A64)=2010),SUM(D$12:D63,D64*(V$8-A63)/(A64-A63)),"")))</f>
        <v/>
      </c>
      <c r="W62" s="67" t="str">
        <f>IF(A63="","",IF(A64="",IF(YEAR(A63)=2010,SUM(D$12:D63),""),IF(AND(YEAR(A63)=2010,YEAR(A64)=2011),SUM(D$12:D63,D64*(W$8-A63)/(A64-A63)),"")))</f>
        <v/>
      </c>
      <c r="X62" s="67" t="str">
        <f>IF(A63="","",IF(A64="",IF(YEAR(A63)=2011,SUM(D$12:D63),""),IF(AND(YEAR(A63)=2011,YEAR(A64)=2012),SUM(D$12:D63,D64*(X$8-A63)/(A64-A63)),"")))</f>
        <v/>
      </c>
      <c r="Y62" s="72" t="str">
        <f>IF(A63="","",IF(A64="",IF(YEAR(A63)=2012,SUM(D$12:D63),""),IF(AND(YEAR(A63)=2012,YEAR(A64)=2013),SUM(D$12:D63,D64*(Y$8-A63)/(A64-A63)),"")))</f>
        <v/>
      </c>
      <c r="Z62" s="67" t="str">
        <f>IF($A63="","",IF($A64="",IF(YEAR($A63)=2002,SUM($J$12:$J63),""),IF(AND(YEAR($A63)=2002,YEAR($A64)=2003),SUM($J$12:$J63,$J64*(O$8-$A63)/($A64-$A63)),"")))</f>
        <v/>
      </c>
      <c r="AA62" s="67" t="str">
        <f>IF($A63="","",IF($A64="",IF(YEAR($A63)=2003,SUM($J$12:$J63),""),IF(AND(YEAR($A63)=2003,YEAR($A64)=2004),SUM($J$12:$J63,$J64*(P$8-$A63)/($A64-$A63)),"")))</f>
        <v/>
      </c>
      <c r="AB62" s="67" t="str">
        <f>IF($A63="","",IF($A64="",IF(YEAR($A63)=2004,SUM($J$12:$J63),""),IF(AND(YEAR($A63)=2004,YEAR($A64)=2005),SUM($J$12:$J63,$J64*(Q$8-$A63)/($A64-$A63)),"")))</f>
        <v/>
      </c>
      <c r="AC62" s="67" t="str">
        <f>IF($A63="","",IF($A64="",IF(YEAR($A63)=2005,SUM($J$12:$J63),""),IF(AND(YEAR($A63)=2005,YEAR($A64)=2006),SUM($J$12:$J63,$J64*(R$8-$A63)/($A64-$A63)),"")))</f>
        <v/>
      </c>
      <c r="AD62" s="67" t="str">
        <f>IF($A63="","",IF($A64="",IF(YEAR($A63)=2006,SUM($J$12:$J63),""),IF(AND(YEAR($A63)=2006,YEAR($A64)=2007),SUM($J$12:$J63,$J64*(S$8-$A63)/($A64-$A63)),"")))</f>
        <v/>
      </c>
      <c r="AE62" s="67" t="str">
        <f>IF($A63="","",IF($A64="",IF(YEAR($A63)=2007,SUM($J$12:$J63),""),IF(AND(YEAR($A63)=2007,YEAR($A64)=2008),SUM($J$12:$J63,$J64*(T$8-$A63)/($A64-$A63)),"")))</f>
        <v/>
      </c>
      <c r="AF62" s="67" t="str">
        <f>IF($A63="","",IF($A64="",IF(YEAR($A63)=2008,SUM($J$12:$J63),""),IF(AND(YEAR($A63)=2008,YEAR($A64)=2009),SUM($J$12:$J63,$J64*(U$8-$A63)/($A64-$A63)),"")))</f>
        <v/>
      </c>
      <c r="AG62" s="67" t="str">
        <f>IF($A63="","",IF($A64="",IF(YEAR($A63)=2009,SUM($J$12:$J63),""),IF(AND(YEAR($A63)=2009,YEAR($A64)=2010),SUM($J$12:$J63,$J64*(V$8-$A63)/($A64-$A63)),"")))</f>
        <v/>
      </c>
      <c r="AH62" s="67" t="str">
        <f>IF($A63="","",IF($A64="",IF(YEAR($A63)=2010,SUM($J$12:$J63),""),IF(AND(YEAR($A63)=2010,YEAR($A64)=2011),SUM($J$12:$J63,$J64*(W$8-$A63)/($A64-$A63)),"")))</f>
        <v/>
      </c>
      <c r="AI62" s="67" t="str">
        <f>IF($A63="","",IF($A64="",IF(YEAR($A63)=2011,SUM($J$12:$J63),""),IF(AND(YEAR($A63)=2011,YEAR($A64)=2012),SUM($J$12:$J63,$J64*(X$8-$A63)/($A64-$A63)),"")))</f>
        <v/>
      </c>
      <c r="AJ62" s="67" t="str">
        <f>IF($A63="","",IF($A64="",IF(YEAR($A63)=2012,SUM($J$12:$J63),""),IF(AND(YEAR($A63)=2012,YEAR($A64)=2013),SUM($J$12:$J63,$J64*(Y$8-$A63)/($A64-$A63)),"")))</f>
        <v/>
      </c>
    </row>
    <row r="63" spans="1:36" x14ac:dyDescent="0.2">
      <c r="A63" s="309" t="str">
        <f t="shared" si="0"/>
        <v/>
      </c>
      <c r="B63" s="168" t="str">
        <f>IF($E$5*$E$7&lt;51," ",51)</f>
        <v xml:space="preserve"> </v>
      </c>
      <c r="C63" s="201" t="str">
        <f>IF(AND(B61=" ",B62=" ",B63=" ")," ",IF(B62=" ",SUM(C$13:C61),IF(B63=" "," ",D63+E63)))</f>
        <v xml:space="preserve"> </v>
      </c>
      <c r="D63" s="201" t="str">
        <f>IF(AND(B61=" ",B62=" ",B63=" ")," ",IF(B62=" ",SUM(D$13:D61),IF(B63=" "," ",ROUND(F62*E$6/E$7,2))))</f>
        <v xml:space="preserve"> </v>
      </c>
      <c r="E63" s="201" t="str">
        <f>IF(AND(B61=" ",B62=" ",B63=" ")," ",IF(B62=" ",SUM(E$13:E61),IF(B63=" "," ",E$8)))</f>
        <v xml:space="preserve"> </v>
      </c>
      <c r="F63" s="201" t="str">
        <f>IF(AND(B61=" ",B62=" ",B63=" ")," ",IF(B62=" ",SUM(F$12:F60),IF(B63=" "," ",F62-E63)))</f>
        <v xml:space="preserve"> </v>
      </c>
      <c r="G63" s="201" t="str">
        <f>IF(AND(B61=" ",B62=" ",B63=" ")," ",IF(B62=" ",SUM(G$12:G61),IF(B64=" ",IF(E$5*E$7=B63,C63-C$7+C$8+G$10," "),C63)))</f>
        <v xml:space="preserve"> </v>
      </c>
      <c r="H63" s="204" t="str">
        <f>IF(AND(B61=" ",B62=" ",B63=" ")," ",IF(B62=" ",SUM(H$13:H61)*E$7,IF(B63=" "," ",IF(B64=" ",IF(E$5*E$7=B63,IRR(G$12:G63,0.01)," ")," "))))</f>
        <v xml:space="preserve"> </v>
      </c>
      <c r="I63" s="202" t="str">
        <f t="shared" si="1"/>
        <v/>
      </c>
      <c r="J63" s="202" t="str">
        <f t="shared" si="2"/>
        <v/>
      </c>
      <c r="K63" s="55"/>
      <c r="L63" s="56"/>
      <c r="O63" s="67"/>
      <c r="P63" s="67" t="str">
        <f>IF($A64="","",IF($A65="",IF(YEAR($A64)=2003,SUM($D$12:$D64),""),IF(AND(YEAR($A64)=2003,YEAR($A65)=2004),SUM($D$12:$D64,$D65*(P$8-$A64)/($A65-$A64)),"")))</f>
        <v/>
      </c>
      <c r="Q63" s="67" t="str">
        <f>IF(A64="","",IF(A65="",IF(YEAR(A64)=2004,SUM(D$12:D64),""),IF(AND(YEAR(A64)=2004,YEAR(A65)=2005),SUM(D$12:D64,D65*(Q$8-A64)/(A65-A64)),"")))</f>
        <v/>
      </c>
      <c r="R63" s="67" t="str">
        <f>IF(A64="","",IF(A65="",IF(YEAR(A64)=2005,SUM(D$12:D64),""),IF(AND(YEAR(A64)=2005,YEAR(A65)=2006),SUM(D$12:D64,D65*(R$8-A64)/(A65-A64)),"")))</f>
        <v/>
      </c>
      <c r="S63" s="67" t="str">
        <f>IF(A64="","",IF(A65="",IF(YEAR(A64)=2006,SUM(D$12:D64),""),IF(AND(YEAR(A64)=2006,YEAR(A65)=2007),SUM(D$12:D64,D65*(S$8-A64)/(A65-A64)),"")))</f>
        <v/>
      </c>
      <c r="T63" s="67" t="str">
        <f>IF(A64="","",IF(A65="",IF(YEAR(A64)=2007,SUM(D$12:D64),""),IF(AND(YEAR(A64)=2007,YEAR(A65)=2008),SUM(D$12:D64,D65*(T$8-A64)/(A65-A64)),"")))</f>
        <v/>
      </c>
      <c r="U63" s="67" t="str">
        <f>IF(A64="","",IF(A65="",IF(YEAR(A64)=2008,SUM(D$12:D64),""),IF(AND(YEAR(A64)=2008,YEAR(A65)=2009),SUM(D$12:D64,D65*(U$8-A64)/(A65-A64)),"")))</f>
        <v/>
      </c>
      <c r="V63" s="67" t="str">
        <f>IF(A64="","",IF(A65="",IF(YEAR(A64)=2009,SUM(D$12:D64),""),IF(AND(YEAR(A64)=2009,YEAR(A65)=2010),SUM(D$12:D64,D65*(V$8-A64)/(A65-A64)),"")))</f>
        <v/>
      </c>
      <c r="W63" s="67" t="str">
        <f>IF(A64="","",IF(A65="",IF(YEAR(A64)=2010,SUM(D$12:D64),""),IF(AND(YEAR(A64)=2010,YEAR(A65)=2011),SUM(D$12:D64,D65*(W$8-A64)/(A65-A64)),"")))</f>
        <v/>
      </c>
      <c r="X63" s="67" t="str">
        <f>IF(A64="","",IF(A65="",IF(YEAR(A64)=2011,SUM(D$12:D64),""),IF(AND(YEAR(A64)=2011,YEAR(A65)=2012),SUM(D$12:D64,D65*(X$8-A64)/(A65-A64)),"")))</f>
        <v/>
      </c>
      <c r="Y63" s="72" t="str">
        <f>IF(A64="","",IF(A65="",IF(YEAR(A64)=2012,SUM(D$12:D64),""),IF(AND(YEAR(A64)=2012,YEAR(A65)=2013),SUM(D$12:D64,D65*(Y$8-A64)/(A65-A64)),"")))</f>
        <v/>
      </c>
      <c r="Z63" s="67" t="str">
        <f>IF($A64="","",IF($A65="",IF(YEAR($A64)=2002,SUM($J$12:$J64),""),IF(AND(YEAR($A64)=2002,YEAR($A65)=2003),SUM($J$12:$J64,$J65*(O$8-$A64)/($A65-$A64)),"")))</f>
        <v/>
      </c>
      <c r="AA63" s="67" t="str">
        <f>IF($A64="","",IF($A65="",IF(YEAR($A64)=2003,SUM($J$12:$J64),""),IF(AND(YEAR($A64)=2003,YEAR($A65)=2004),SUM($J$12:$J64,$J65*(P$8-$A64)/($A65-$A64)),"")))</f>
        <v/>
      </c>
      <c r="AB63" s="67" t="str">
        <f>IF($A64="","",IF($A65="",IF(YEAR($A64)=2004,SUM($J$12:$J64),""),IF(AND(YEAR($A64)=2004,YEAR($A65)=2005),SUM($J$12:$J64,$J65*(Q$8-$A64)/($A65-$A64)),"")))</f>
        <v/>
      </c>
      <c r="AC63" s="67" t="str">
        <f>IF($A64="","",IF($A65="",IF(YEAR($A64)=2005,SUM($J$12:$J64),""),IF(AND(YEAR($A64)=2005,YEAR($A65)=2006),SUM($J$12:$J64,$J65*(R$8-$A64)/($A65-$A64)),"")))</f>
        <v/>
      </c>
      <c r="AD63" s="67" t="str">
        <f>IF($A64="","",IF($A65="",IF(YEAR($A64)=2006,SUM($J$12:$J64),""),IF(AND(YEAR($A64)=2006,YEAR($A65)=2007),SUM($J$12:$J64,$J65*(S$8-$A64)/($A65-$A64)),"")))</f>
        <v/>
      </c>
      <c r="AE63" s="67" t="str">
        <f>IF($A64="","",IF($A65="",IF(YEAR($A64)=2007,SUM($J$12:$J64),""),IF(AND(YEAR($A64)=2007,YEAR($A65)=2008),SUM($J$12:$J64,$J65*(T$8-$A64)/($A65-$A64)),"")))</f>
        <v/>
      </c>
      <c r="AF63" s="67" t="str">
        <f>IF($A64="","",IF($A65="",IF(YEAR($A64)=2008,SUM($J$12:$J64),""),IF(AND(YEAR($A64)=2008,YEAR($A65)=2009),SUM($J$12:$J64,$J65*(U$8-$A64)/($A65-$A64)),"")))</f>
        <v/>
      </c>
      <c r="AG63" s="67" t="str">
        <f>IF($A64="","",IF($A65="",IF(YEAR($A64)=2009,SUM($J$12:$J64),""),IF(AND(YEAR($A64)=2009,YEAR($A65)=2010),SUM($J$12:$J64,$J65*(V$8-$A64)/($A65-$A64)),"")))</f>
        <v/>
      </c>
      <c r="AH63" s="67" t="str">
        <f>IF($A64="","",IF($A65="",IF(YEAR($A64)=2010,SUM($J$12:$J64),""),IF(AND(YEAR($A64)=2010,YEAR($A65)=2011),SUM($J$12:$J64,$J65*(W$8-$A64)/($A65-$A64)),"")))</f>
        <v/>
      </c>
      <c r="AI63" s="67" t="str">
        <f>IF($A64="","",IF($A65="",IF(YEAR($A64)=2011,SUM($J$12:$J64),""),IF(AND(YEAR($A64)=2011,YEAR($A65)=2012),SUM($J$12:$J64,$J65*(X$8-$A64)/($A65-$A64)),"")))</f>
        <v/>
      </c>
      <c r="AJ63" s="67" t="str">
        <f>IF($A64="","",IF($A65="",IF(YEAR($A64)=2012,SUM($J$12:$J64),""),IF(AND(YEAR($A64)=2012,YEAR($A65)=2013),SUM($J$12:$J64,$J65*(Y$8-$A64)/($A65-$A64)),"")))</f>
        <v/>
      </c>
    </row>
    <row r="64" spans="1:36" x14ac:dyDescent="0.2">
      <c r="A64" s="309" t="str">
        <f t="shared" si="0"/>
        <v/>
      </c>
      <c r="B64" s="168" t="str">
        <f>IF($E$5*$E$7&lt;52," ",52)</f>
        <v xml:space="preserve"> </v>
      </c>
      <c r="C64" s="201" t="str">
        <f>IF(AND(B62=" ",B63=" ",B64=" ")," ",IF(B63=" ",SUM(C$13:C62),IF(B64=" "," ",D64+E64)))</f>
        <v xml:space="preserve"> </v>
      </c>
      <c r="D64" s="201" t="str">
        <f>IF(AND(B62=" ",B63=" ",B64=" ")," ",IF(B63=" ",SUM(D$13:D62),IF(B64=" "," ",ROUND(F63*E$6/E$7,2))))</f>
        <v xml:space="preserve"> </v>
      </c>
      <c r="E64" s="201" t="str">
        <f>IF(AND(B62=" ",B63=" ",B64=" ")," ",IF(B63=" ",SUM(E$13:E62),IF(B64=" "," ",E$8)))</f>
        <v xml:space="preserve"> </v>
      </c>
      <c r="F64" s="201" t="str">
        <f>IF(AND(B62=" ",B63=" ",B64=" ")," ",IF(B63=" ",SUM(F$12:F61),IF(B64=" "," ",F63-E64)))</f>
        <v xml:space="preserve"> </v>
      </c>
      <c r="G64" s="201" t="str">
        <f>IF(AND(B62=" ",B63=" ",B64=" ")," ",IF(B63=" ",SUM(G$12:G62),IF(B65=" ",IF(E$5*E$7=B64,C64-C$7+C$8+G$10," "),C64)))</f>
        <v xml:space="preserve"> </v>
      </c>
      <c r="H64" s="204" t="str">
        <f>IF(AND(B62=" ",B63=" ",B64=" ")," ",IF(B63=" ",SUM(H$13:H62)*E$7,IF(B64=" "," ",IF(B65=" ",IF(E$5*E$7=B64,IRR(G$12:G64,0.01)," ")," "))))</f>
        <v xml:space="preserve"> </v>
      </c>
      <c r="I64" s="202" t="str">
        <f t="shared" si="1"/>
        <v/>
      </c>
      <c r="J64" s="202" t="str">
        <f t="shared" si="2"/>
        <v/>
      </c>
      <c r="K64" s="55"/>
      <c r="L64" s="56"/>
      <c r="O64" s="67"/>
      <c r="P64" s="67" t="str">
        <f>IF($A65="","",IF($A66="",IF(YEAR($A65)=2003,SUM($D$12:$D65),""),IF(AND(YEAR($A65)=2003,YEAR($A66)=2004),SUM($D$12:$D65,$D66*(P$8-$A65)/($A66-$A65)),"")))</f>
        <v/>
      </c>
      <c r="Q64" s="67" t="str">
        <f>IF(A65="","",IF(A66="",IF(YEAR(A65)=2004,SUM(D$12:D65),""),IF(AND(YEAR(A65)=2004,YEAR(A66)=2005),SUM(D$12:D65,D66*(Q$8-A65)/(A66-A65)),"")))</f>
        <v/>
      </c>
      <c r="R64" s="67" t="str">
        <f>IF(A65="","",IF(A66="",IF(YEAR(A65)=2005,SUM(D$12:D65),""),IF(AND(YEAR(A65)=2005,YEAR(A66)=2006),SUM(D$12:D65,D66*(R$8-A65)/(A66-A65)),"")))</f>
        <v/>
      </c>
      <c r="S64" s="67" t="str">
        <f>IF(A65="","",IF(A66="",IF(YEAR(A65)=2006,SUM(D$12:D65),""),IF(AND(YEAR(A65)=2006,YEAR(A66)=2007),SUM(D$12:D65,D66*(S$8-A65)/(A66-A65)),"")))</f>
        <v/>
      </c>
      <c r="T64" s="67" t="str">
        <f>IF(A65="","",IF(A66="",IF(YEAR(A65)=2007,SUM(D$12:D65),""),IF(AND(YEAR(A65)=2007,YEAR(A66)=2008),SUM(D$12:D65,D66*(T$8-A65)/(A66-A65)),"")))</f>
        <v/>
      </c>
      <c r="U64" s="67" t="str">
        <f>IF(A65="","",IF(A66="",IF(YEAR(A65)=2008,SUM(D$12:D65),""),IF(AND(YEAR(A65)=2008,YEAR(A66)=2009),SUM(D$12:D65,D66*(U$8-A65)/(A66-A65)),"")))</f>
        <v/>
      </c>
      <c r="V64" s="67" t="str">
        <f>IF(A65="","",IF(A66="",IF(YEAR(A65)=2009,SUM(D$12:D65),""),IF(AND(YEAR(A65)=2009,YEAR(A66)=2010),SUM(D$12:D65,D66*(V$8-A65)/(A66-A65)),"")))</f>
        <v/>
      </c>
      <c r="W64" s="67" t="str">
        <f>IF(A65="","",IF(A66="",IF(YEAR(A65)=2010,SUM(D$12:D65),""),IF(AND(YEAR(A65)=2010,YEAR(A66)=2011),SUM(D$12:D65,D66*(W$8-A65)/(A66-A65)),"")))</f>
        <v/>
      </c>
      <c r="X64" s="67" t="str">
        <f>IF(A65="","",IF(A66="",IF(YEAR(A65)=2011,SUM(D$12:D65),""),IF(AND(YEAR(A65)=2011,YEAR(A66)=2012),SUM(D$12:D65,D66*(X$8-A65)/(A66-A65)),"")))</f>
        <v/>
      </c>
      <c r="Y64" s="72" t="str">
        <f>IF(A65="","",IF(A66="",IF(YEAR(A65)=2012,SUM(D$12:D65),""),IF(AND(YEAR(A65)=2012,YEAR(A66)=2013),SUM(D$12:D65,D66*(Y$8-A65)/(A66-A65)),"")))</f>
        <v/>
      </c>
      <c r="Z64" s="67" t="str">
        <f>IF($A65="","",IF($A66="",IF(YEAR($A65)=2002,SUM($J$12:$J65),""),IF(AND(YEAR($A65)=2002,YEAR($A66)=2003),SUM($J$12:$J65,$J66*(O$8-$A65)/($A66-$A65)),"")))</f>
        <v/>
      </c>
      <c r="AA64" s="67" t="str">
        <f>IF($A65="","",IF($A66="",IF(YEAR($A65)=2003,SUM($J$12:$J65),""),IF(AND(YEAR($A65)=2003,YEAR($A66)=2004),SUM($J$12:$J65,$J66*(P$8-$A65)/($A66-$A65)),"")))</f>
        <v/>
      </c>
      <c r="AB64" s="67" t="str">
        <f>IF($A65="","",IF($A66="",IF(YEAR($A65)=2004,SUM($J$12:$J65),""),IF(AND(YEAR($A65)=2004,YEAR($A66)=2005),SUM($J$12:$J65,$J66*(Q$8-$A65)/($A66-$A65)),"")))</f>
        <v/>
      </c>
      <c r="AC64" s="67" t="str">
        <f>IF($A65="","",IF($A66="",IF(YEAR($A65)=2005,SUM($J$12:$J65),""),IF(AND(YEAR($A65)=2005,YEAR($A66)=2006),SUM($J$12:$J65,$J66*(R$8-$A65)/($A66-$A65)),"")))</f>
        <v/>
      </c>
      <c r="AD64" s="67" t="str">
        <f>IF($A65="","",IF($A66="",IF(YEAR($A65)=2006,SUM($J$12:$J65),""),IF(AND(YEAR($A65)=2006,YEAR($A66)=2007),SUM($J$12:$J65,$J66*(S$8-$A65)/($A66-$A65)),"")))</f>
        <v/>
      </c>
      <c r="AE64" s="67" t="str">
        <f>IF($A65="","",IF($A66="",IF(YEAR($A65)=2007,SUM($J$12:$J65),""),IF(AND(YEAR($A65)=2007,YEAR($A66)=2008),SUM($J$12:$J65,$J66*(T$8-$A65)/($A66-$A65)),"")))</f>
        <v/>
      </c>
      <c r="AF64" s="67" t="str">
        <f>IF($A65="","",IF($A66="",IF(YEAR($A65)=2008,SUM($J$12:$J65),""),IF(AND(YEAR($A65)=2008,YEAR($A66)=2009),SUM($J$12:$J65,$J66*(U$8-$A65)/($A66-$A65)),"")))</f>
        <v/>
      </c>
      <c r="AG64" s="67" t="str">
        <f>IF($A65="","",IF($A66="",IF(YEAR($A65)=2009,SUM($J$12:$J65),""),IF(AND(YEAR($A65)=2009,YEAR($A66)=2010),SUM($J$12:$J65,$J66*(V$8-$A65)/($A66-$A65)),"")))</f>
        <v/>
      </c>
      <c r="AH64" s="67" t="str">
        <f>IF($A65="","",IF($A66="",IF(YEAR($A65)=2010,SUM($J$12:$J65),""),IF(AND(YEAR($A65)=2010,YEAR($A66)=2011),SUM($J$12:$J65,$J66*(W$8-$A65)/($A66-$A65)),"")))</f>
        <v/>
      </c>
      <c r="AI64" s="67" t="str">
        <f>IF($A65="","",IF($A66="",IF(YEAR($A65)=2011,SUM($J$12:$J65),""),IF(AND(YEAR($A65)=2011,YEAR($A66)=2012),SUM($J$12:$J65,$J66*(X$8-$A65)/($A66-$A65)),"")))</f>
        <v/>
      </c>
      <c r="AJ64" s="67" t="str">
        <f>IF($A65="","",IF($A66="",IF(YEAR($A65)=2012,SUM($J$12:$J65),""),IF(AND(YEAR($A65)=2012,YEAR($A66)=2013),SUM($J$12:$J65,$J66*(Y$8-$A65)/($A66-$A65)),"")))</f>
        <v/>
      </c>
    </row>
    <row r="65" spans="1:36" x14ac:dyDescent="0.2">
      <c r="A65" s="309" t="str">
        <f t="shared" si="0"/>
        <v/>
      </c>
      <c r="B65" s="168" t="str">
        <f>IF($E$5*$E$7&lt;53," ",53)</f>
        <v xml:space="preserve"> </v>
      </c>
      <c r="C65" s="201" t="str">
        <f>IF(AND(B63=" ",B64=" ",B65=" ")," ",IF(B64=" ",SUM(C$13:C63),IF(B65=" "," ",D65+E65)))</f>
        <v xml:space="preserve"> </v>
      </c>
      <c r="D65" s="201" t="str">
        <f>IF(AND(B63=" ",B64=" ",B65=" ")," ",IF(B64=" ",SUM(D$13:D63),IF(B65=" "," ",ROUND(F64*E$6/E$7,2))))</f>
        <v xml:space="preserve"> </v>
      </c>
      <c r="E65" s="201" t="str">
        <f>IF(AND(B63=" ",B64=" ",B65=" ")," ",IF(B64=" ",SUM(E$13:E63),IF(B65=" "," ",E$8)))</f>
        <v xml:space="preserve"> </v>
      </c>
      <c r="F65" s="201" t="str">
        <f>IF(AND(B63=" ",B64=" ",B65=" ")," ",IF(B64=" ",SUM(F$12:F62),IF(B65=" "," ",F64-E65)))</f>
        <v xml:space="preserve"> </v>
      </c>
      <c r="G65" s="201" t="str">
        <f>IF(AND(B63=" ",B64=" ",B65=" ")," ",IF(B64=" ",SUM(G$12:G63),IF(B66=" ",IF(E$5*E$7=B65,C65-C$7+C$8+G$10," "),C65)))</f>
        <v xml:space="preserve"> </v>
      </c>
      <c r="H65" s="204" t="str">
        <f>IF(AND(B63=" ",B64=" ",B65=" ")," ",IF(B64=" ",SUM(H$13:H63)*E$7,IF(B65=" "," ",IF(B66=" ",IF(E$5*E$7=B65,IRR(G$12:G65,0.01)," ")," "))))</f>
        <v xml:space="preserve"> </v>
      </c>
      <c r="I65" s="202" t="str">
        <f t="shared" si="1"/>
        <v/>
      </c>
      <c r="J65" s="202" t="str">
        <f t="shared" si="2"/>
        <v/>
      </c>
      <c r="K65" s="55"/>
      <c r="L65" s="56"/>
      <c r="O65" s="67"/>
      <c r="P65" s="67" t="str">
        <f>IF($A66="","",IF($A67="",IF(YEAR($A66)=2003,SUM($D$12:$D66),""),IF(AND(YEAR($A66)=2003,YEAR($A67)=2004),SUM($D$12:$D66,$D67*(P$8-$A66)/($A67-$A66)),"")))</f>
        <v/>
      </c>
      <c r="Q65" s="67" t="str">
        <f>IF(A66="","",IF(A67="",IF(YEAR(A66)=2004,SUM(D$12:D66),""),IF(AND(YEAR(A66)=2004,YEAR(A67)=2005),SUM(D$12:D66,D67*(Q$8-A66)/(A67-A66)),"")))</f>
        <v/>
      </c>
      <c r="R65" s="67" t="str">
        <f>IF(A66="","",IF(A67="",IF(YEAR(A66)=2005,SUM(D$12:D66),""),IF(AND(YEAR(A66)=2005,YEAR(A67)=2006),SUM(D$12:D66,D67*(R$8-A66)/(A67-A66)),"")))</f>
        <v/>
      </c>
      <c r="S65" s="67" t="str">
        <f>IF(A66="","",IF(A67="",IF(YEAR(A66)=2006,SUM(D$12:D66),""),IF(AND(YEAR(A66)=2006,YEAR(A67)=2007),SUM(D$12:D66,D67*(S$8-A66)/(A67-A66)),"")))</f>
        <v/>
      </c>
      <c r="T65" s="67" t="str">
        <f>IF(A66="","",IF(A67="",IF(YEAR(A66)=2007,SUM(D$12:D66),""),IF(AND(YEAR(A66)=2007,YEAR(A67)=2008),SUM(D$12:D66,D67*(T$8-A66)/(A67-A66)),"")))</f>
        <v/>
      </c>
      <c r="U65" s="67" t="str">
        <f>IF(A66="","",IF(A67="",IF(YEAR(A66)=2008,SUM(D$12:D66),""),IF(AND(YEAR(A66)=2008,YEAR(A67)=2009),SUM(D$12:D66,D67*(U$8-A66)/(A67-A66)),"")))</f>
        <v/>
      </c>
      <c r="V65" s="67" t="str">
        <f>IF(A66="","",IF(A67="",IF(YEAR(A66)=2009,SUM(D$12:D66),""),IF(AND(YEAR(A66)=2009,YEAR(A67)=2010),SUM(D$12:D66,D67*(V$8-A66)/(A67-A66)),"")))</f>
        <v/>
      </c>
      <c r="W65" s="67" t="str">
        <f>IF(A66="","",IF(A67="",IF(YEAR(A66)=2010,SUM(D$12:D66),""),IF(AND(YEAR(A66)=2010,YEAR(A67)=2011),SUM(D$12:D66,D67*(W$8-A66)/(A67-A66)),"")))</f>
        <v/>
      </c>
      <c r="X65" s="67" t="str">
        <f>IF(A66="","",IF(A67="",IF(YEAR(A66)=2011,SUM(D$12:D66),""),IF(AND(YEAR(A66)=2011,YEAR(A67)=2012),SUM(D$12:D66,D67*(X$8-A66)/(A67-A66)),"")))</f>
        <v/>
      </c>
      <c r="Y65" s="72" t="str">
        <f>IF(A66="","",IF(A67="",IF(YEAR(A66)=2012,SUM(D$12:D66),""),IF(AND(YEAR(A66)=2012,YEAR(A67)=2013),SUM(D$12:D66,D67*(Y$8-A66)/(A67-A66)),"")))</f>
        <v/>
      </c>
      <c r="Z65" s="67" t="str">
        <f>IF($A66="","",IF($A67="",IF(YEAR($A66)=2002,SUM($J$12:$J66),""),IF(AND(YEAR($A66)=2002,YEAR($A67)=2003),SUM($J$12:$J66,$J67*(O$8-$A66)/($A67-$A66)),"")))</f>
        <v/>
      </c>
      <c r="AA65" s="67" t="str">
        <f>IF($A66="","",IF($A67="",IF(YEAR($A66)=2003,SUM($J$12:$J66),""),IF(AND(YEAR($A66)=2003,YEAR($A67)=2004),SUM($J$12:$J66,$J67*(P$8-$A66)/($A67-$A66)),"")))</f>
        <v/>
      </c>
      <c r="AB65" s="67" t="str">
        <f>IF($A66="","",IF($A67="",IF(YEAR($A66)=2004,SUM($J$12:$J66),""),IF(AND(YEAR($A66)=2004,YEAR($A67)=2005),SUM($J$12:$J66,$J67*(Q$8-$A66)/($A67-$A66)),"")))</f>
        <v/>
      </c>
      <c r="AC65" s="67" t="str">
        <f>IF($A66="","",IF($A67="",IF(YEAR($A66)=2005,SUM($J$12:$J66),""),IF(AND(YEAR($A66)=2005,YEAR($A67)=2006),SUM($J$12:$J66,$J67*(R$8-$A66)/($A67-$A66)),"")))</f>
        <v/>
      </c>
      <c r="AD65" s="67" t="str">
        <f>IF($A66="","",IF($A67="",IF(YEAR($A66)=2006,SUM($J$12:$J66),""),IF(AND(YEAR($A66)=2006,YEAR($A67)=2007),SUM($J$12:$J66,$J67*(S$8-$A66)/($A67-$A66)),"")))</f>
        <v/>
      </c>
      <c r="AE65" s="67" t="str">
        <f>IF($A66="","",IF($A67="",IF(YEAR($A66)=2007,SUM($J$12:$J66),""),IF(AND(YEAR($A66)=2007,YEAR($A67)=2008),SUM($J$12:$J66,$J67*(T$8-$A66)/($A67-$A66)),"")))</f>
        <v/>
      </c>
      <c r="AF65" s="67" t="str">
        <f>IF($A66="","",IF($A67="",IF(YEAR($A66)=2008,SUM($J$12:$J66),""),IF(AND(YEAR($A66)=2008,YEAR($A67)=2009),SUM($J$12:$J66,$J67*(U$8-$A66)/($A67-$A66)),"")))</f>
        <v/>
      </c>
      <c r="AG65" s="67" t="str">
        <f>IF($A66="","",IF($A67="",IF(YEAR($A66)=2009,SUM($J$12:$J66),""),IF(AND(YEAR($A66)=2009,YEAR($A67)=2010),SUM($J$12:$J66,$J67*(V$8-$A66)/($A67-$A66)),"")))</f>
        <v/>
      </c>
      <c r="AH65" s="67" t="str">
        <f>IF($A66="","",IF($A67="",IF(YEAR($A66)=2010,SUM($J$12:$J66),""),IF(AND(YEAR($A66)=2010,YEAR($A67)=2011),SUM($J$12:$J66,$J67*(W$8-$A66)/($A67-$A66)),"")))</f>
        <v/>
      </c>
      <c r="AI65" s="67" t="str">
        <f>IF($A66="","",IF($A67="",IF(YEAR($A66)=2011,SUM($J$12:$J66),""),IF(AND(YEAR($A66)=2011,YEAR($A67)=2012),SUM($J$12:$J66,$J67*(X$8-$A66)/($A67-$A66)),"")))</f>
        <v/>
      </c>
      <c r="AJ65" s="67" t="str">
        <f>IF($A66="","",IF($A67="",IF(YEAR($A66)=2012,SUM($J$12:$J66),""),IF(AND(YEAR($A66)=2012,YEAR($A67)=2013),SUM($J$12:$J66,$J67*(Y$8-$A66)/($A67-$A66)),"")))</f>
        <v/>
      </c>
    </row>
    <row r="66" spans="1:36" x14ac:dyDescent="0.2">
      <c r="A66" s="309" t="str">
        <f t="shared" si="0"/>
        <v/>
      </c>
      <c r="B66" s="168" t="str">
        <f>IF($E$5*$E$7&lt;54," ",54)</f>
        <v xml:space="preserve"> </v>
      </c>
      <c r="C66" s="201" t="str">
        <f>IF(AND(B64=" ",B65=" ",B66=" ")," ",IF(B65=" ",SUM(C$13:C64),IF(B66=" "," ",D66+E66)))</f>
        <v xml:space="preserve"> </v>
      </c>
      <c r="D66" s="201" t="str">
        <f>IF(AND(B64=" ",B65=" ",B66=" ")," ",IF(B65=" ",SUM(D$13:D64),IF(B66=" "," ",ROUND(F65*E$6/E$7,2))))</f>
        <v xml:space="preserve"> </v>
      </c>
      <c r="E66" s="201" t="str">
        <f>IF(AND(B64=" ",B65=" ",B66=" ")," ",IF(B65=" ",SUM(E$13:E64),IF(B66=" "," ",E$8)))</f>
        <v xml:space="preserve"> </v>
      </c>
      <c r="F66" s="201" t="str">
        <f>IF(AND(B64=" ",B65=" ",B66=" ")," ",IF(B65=" ",SUM(F$12:F63),IF(B66=" "," ",F65-E66)))</f>
        <v xml:space="preserve"> </v>
      </c>
      <c r="G66" s="201" t="str">
        <f>IF(AND(B64=" ",B65=" ",B66=" ")," ",IF(B65=" ",SUM(G$12:G64),IF(B67=" ",IF(E$5*E$7=B66,C66-C$7+C$8+G$10," "),C66)))</f>
        <v xml:space="preserve"> </v>
      </c>
      <c r="H66" s="204" t="str">
        <f>IF(AND(B64=" ",B65=" ",B66=" ")," ",IF(B65=" ",SUM(H$13:H64)*E$7,IF(B66=" "," ",IF(B67=" ",IF(E$5*E$7=B66,IRR(G$12:G66,0.01)," ")," "))))</f>
        <v xml:space="preserve"> </v>
      </c>
      <c r="I66" s="202" t="str">
        <f t="shared" si="1"/>
        <v/>
      </c>
      <c r="J66" s="202" t="str">
        <f t="shared" si="2"/>
        <v/>
      </c>
      <c r="K66" s="55"/>
      <c r="L66" s="56"/>
      <c r="O66" s="67"/>
      <c r="P66" s="67" t="str">
        <f>IF($A67="","",IF($A68="",IF(YEAR($A67)=2003,SUM($D$12:$D67),""),IF(AND(YEAR($A67)=2003,YEAR($A68)=2004),SUM($D$12:$D67,$D68*(P$8-$A67)/($A68-$A67)),"")))</f>
        <v/>
      </c>
      <c r="Q66" s="67" t="str">
        <f>IF(A67="","",IF(A68="",IF(YEAR(A67)=2004,SUM(D$12:D67),""),IF(AND(YEAR(A67)=2004,YEAR(A68)=2005),SUM(D$12:D67,D68*(Q$8-A67)/(A68-A67)),"")))</f>
        <v/>
      </c>
      <c r="R66" s="67" t="str">
        <f>IF(A67="","",IF(A68="",IF(YEAR(A67)=2005,SUM(D$12:D67),""),IF(AND(YEAR(A67)=2005,YEAR(A68)=2006),SUM(D$12:D67,D68*(R$8-A67)/(A68-A67)),"")))</f>
        <v/>
      </c>
      <c r="S66" s="67" t="str">
        <f>IF(A67="","",IF(A68="",IF(YEAR(A67)=2006,SUM(D$12:D67),""),IF(AND(YEAR(A67)=2006,YEAR(A68)=2007),SUM(D$12:D67,D68*(S$8-A67)/(A68-A67)),"")))</f>
        <v/>
      </c>
      <c r="T66" s="67" t="str">
        <f>IF(A67="","",IF(A68="",IF(YEAR(A67)=2007,SUM(D$12:D67),""),IF(AND(YEAR(A67)=2007,YEAR(A68)=2008),SUM(D$12:D67,D68*(T$8-A67)/(A68-A67)),"")))</f>
        <v/>
      </c>
      <c r="U66" s="67" t="str">
        <f>IF(A67="","",IF(A68="",IF(YEAR(A67)=2008,SUM(D$12:D67),""),IF(AND(YEAR(A67)=2008,YEAR(A68)=2009),SUM(D$12:D67,D68*(U$8-A67)/(A68-A67)),"")))</f>
        <v/>
      </c>
      <c r="V66" s="67" t="str">
        <f>IF(A67="","",IF(A68="",IF(YEAR(A67)=2009,SUM(D$12:D67),""),IF(AND(YEAR(A67)=2009,YEAR(A68)=2010),SUM(D$12:D67,D68*(V$8-A67)/(A68-A67)),"")))</f>
        <v/>
      </c>
      <c r="W66" s="67" t="str">
        <f>IF(A67="","",IF(A68="",IF(YEAR(A67)=2010,SUM(D$12:D67),""),IF(AND(YEAR(A67)=2010,YEAR(A68)=2011),SUM(D$12:D67,D68*(W$8-A67)/(A68-A67)),"")))</f>
        <v/>
      </c>
      <c r="X66" s="67" t="str">
        <f>IF(A67="","",IF(A68="",IF(YEAR(A67)=2011,SUM(D$12:D67),""),IF(AND(YEAR(A67)=2011,YEAR(A68)=2012),SUM(D$12:D67,D68*(X$8-A67)/(A68-A67)),"")))</f>
        <v/>
      </c>
      <c r="Y66" s="72" t="str">
        <f>IF(A67="","",IF(A68="",IF(YEAR(A67)=2012,SUM(D$12:D67),""),IF(AND(YEAR(A67)=2012,YEAR(A68)=2013),SUM(D$12:D67,D68*(Y$8-A67)/(A68-A67)),"")))</f>
        <v/>
      </c>
      <c r="Z66" s="67" t="str">
        <f>IF($A67="","",IF($A68="",IF(YEAR($A67)=2002,SUM($J$12:$J67),""),IF(AND(YEAR($A67)=2002,YEAR($A68)=2003),SUM($J$12:$J67,$J68*(O$8-$A67)/($A68-$A67)),"")))</f>
        <v/>
      </c>
      <c r="AA66" s="67" t="str">
        <f>IF($A67="","",IF($A68="",IF(YEAR($A67)=2003,SUM($J$12:$J67),""),IF(AND(YEAR($A67)=2003,YEAR($A68)=2004),SUM($J$12:$J67,$J68*(P$8-$A67)/($A68-$A67)),"")))</f>
        <v/>
      </c>
      <c r="AB66" s="67" t="str">
        <f>IF($A67="","",IF($A68="",IF(YEAR($A67)=2004,SUM($J$12:$J67),""),IF(AND(YEAR($A67)=2004,YEAR($A68)=2005),SUM($J$12:$J67,$J68*(Q$8-$A67)/($A68-$A67)),"")))</f>
        <v/>
      </c>
      <c r="AC66" s="67" t="str">
        <f>IF($A67="","",IF($A68="",IF(YEAR($A67)=2005,SUM($J$12:$J67),""),IF(AND(YEAR($A67)=2005,YEAR($A68)=2006),SUM($J$12:$J67,$J68*(R$8-$A67)/($A68-$A67)),"")))</f>
        <v/>
      </c>
      <c r="AD66" s="67" t="str">
        <f>IF($A67="","",IF($A68="",IF(YEAR($A67)=2006,SUM($J$12:$J67),""),IF(AND(YEAR($A67)=2006,YEAR($A68)=2007),SUM($J$12:$J67,$J68*(S$8-$A67)/($A68-$A67)),"")))</f>
        <v/>
      </c>
      <c r="AE66" s="67" t="str">
        <f>IF($A67="","",IF($A68="",IF(YEAR($A67)=2007,SUM($J$12:$J67),""),IF(AND(YEAR($A67)=2007,YEAR($A68)=2008),SUM($J$12:$J67,$J68*(T$8-$A67)/($A68-$A67)),"")))</f>
        <v/>
      </c>
      <c r="AF66" s="67" t="str">
        <f>IF($A67="","",IF($A68="",IF(YEAR($A67)=2008,SUM($J$12:$J67),""),IF(AND(YEAR($A67)=2008,YEAR($A68)=2009),SUM($J$12:$J67,$J68*(U$8-$A67)/($A68-$A67)),"")))</f>
        <v/>
      </c>
      <c r="AG66" s="67" t="str">
        <f>IF($A67="","",IF($A68="",IF(YEAR($A67)=2009,SUM($J$12:$J67),""),IF(AND(YEAR($A67)=2009,YEAR($A68)=2010),SUM($J$12:$J67,$J68*(V$8-$A67)/($A68-$A67)),"")))</f>
        <v/>
      </c>
      <c r="AH66" s="67" t="str">
        <f>IF($A67="","",IF($A68="",IF(YEAR($A67)=2010,SUM($J$12:$J67),""),IF(AND(YEAR($A67)=2010,YEAR($A68)=2011),SUM($J$12:$J67,$J68*(W$8-$A67)/($A68-$A67)),"")))</f>
        <v/>
      </c>
      <c r="AI66" s="67" t="str">
        <f>IF($A67="","",IF($A68="",IF(YEAR($A67)=2011,SUM($J$12:$J67),""),IF(AND(YEAR($A67)=2011,YEAR($A68)=2012),SUM($J$12:$J67,$J68*(X$8-$A67)/($A68-$A67)),"")))</f>
        <v/>
      </c>
      <c r="AJ66" s="67" t="str">
        <f>IF($A67="","",IF($A68="",IF(YEAR($A67)=2012,SUM($J$12:$J67),""),IF(AND(YEAR($A67)=2012,YEAR($A68)=2013),SUM($J$12:$J67,$J68*(Y$8-$A67)/($A68-$A67)),"")))</f>
        <v/>
      </c>
    </row>
    <row r="67" spans="1:36" x14ac:dyDescent="0.2">
      <c r="A67" s="309" t="str">
        <f t="shared" si="0"/>
        <v/>
      </c>
      <c r="B67" s="168" t="str">
        <f>IF($E$5*$E$7&lt;55," ",55)</f>
        <v xml:space="preserve"> </v>
      </c>
      <c r="C67" s="201" t="str">
        <f>IF(AND(B65=" ",B66=" ",B67=" ")," ",IF(B66=" ",SUM(C$13:C65),IF(B67=" "," ",D67+E67)))</f>
        <v xml:space="preserve"> </v>
      </c>
      <c r="D67" s="201" t="str">
        <f>IF(AND(B65=" ",B66=" ",B67=" ")," ",IF(B66=" ",SUM(D$13:D65),IF(B67=" "," ",ROUND(F66*E$6/E$7,2))))</f>
        <v xml:space="preserve"> </v>
      </c>
      <c r="E67" s="201" t="str">
        <f>IF(AND(B65=" ",B66=" ",B67=" ")," ",IF(B66=" ",SUM(E$13:E65),IF(B67=" "," ",E$8)))</f>
        <v xml:space="preserve"> </v>
      </c>
      <c r="F67" s="201" t="str">
        <f>IF(AND(B65=" ",B66=" ",B67=" ")," ",IF(B66=" ",SUM(F$12:F64),IF(B67=" "," ",F66-E67)))</f>
        <v xml:space="preserve"> </v>
      </c>
      <c r="G67" s="201" t="str">
        <f>IF(AND(B65=" ",B66=" ",B67=" ")," ",IF(B66=" ",SUM(G$12:G65),IF(B68=" ",IF(E$5*E$7=B67,C67-C$7+C$8+G$10," "),C67)))</f>
        <v xml:space="preserve"> </v>
      </c>
      <c r="H67" s="204" t="str">
        <f>IF(AND(B65=" ",B66=" ",B67=" ")," ",IF(B66=" ",SUM(H$13:H65)*E$7,IF(B67=" "," ",IF(B68=" ",IF(E$5*E$7=B67,IRR(G$12:G67,0.01)," ")," "))))</f>
        <v xml:space="preserve"> </v>
      </c>
      <c r="I67" s="202" t="str">
        <f t="shared" si="1"/>
        <v/>
      </c>
      <c r="J67" s="202" t="str">
        <f t="shared" si="2"/>
        <v/>
      </c>
      <c r="K67" s="55"/>
      <c r="L67" s="56"/>
      <c r="O67" s="67"/>
      <c r="P67" s="67" t="str">
        <f>IF($A68="","",IF($A69="",IF(YEAR($A68)=2003,SUM($D$12:$D68),""),IF(AND(YEAR($A68)=2003,YEAR($A69)=2004),SUM($D$12:$D68,$D69*(P$8-$A68)/($A69-$A68)),"")))</f>
        <v/>
      </c>
      <c r="Q67" s="67" t="str">
        <f>IF(A68="","",IF(A69="",IF(YEAR(A68)=2004,SUM(D$12:D68),""),IF(AND(YEAR(A68)=2004,YEAR(A69)=2005),SUM(D$12:D68,D69*(Q$8-A68)/(A69-A68)),"")))</f>
        <v/>
      </c>
      <c r="R67" s="67" t="str">
        <f>IF(A68="","",IF(A69="",IF(YEAR(A68)=2005,SUM(D$12:D68),""),IF(AND(YEAR(A68)=2005,YEAR(A69)=2006),SUM(D$12:D68,D69*(R$8-A68)/(A69-A68)),"")))</f>
        <v/>
      </c>
      <c r="S67" s="67" t="str">
        <f>IF(A68="","",IF(A69="",IF(YEAR(A68)=2006,SUM(D$12:D68),""),IF(AND(YEAR(A68)=2006,YEAR(A69)=2007),SUM(D$12:D68,D69*(S$8-A68)/(A69-A68)),"")))</f>
        <v/>
      </c>
      <c r="T67" s="67" t="str">
        <f>IF(A68="","",IF(A69="",IF(YEAR(A68)=2007,SUM(D$12:D68),""),IF(AND(YEAR(A68)=2007,YEAR(A69)=2008),SUM(D$12:D68,D69*(T$8-A68)/(A69-A68)),"")))</f>
        <v/>
      </c>
      <c r="U67" s="67" t="str">
        <f>IF(A68="","",IF(A69="",IF(YEAR(A68)=2008,SUM(D$12:D68),""),IF(AND(YEAR(A68)=2008,YEAR(A69)=2009),SUM(D$12:D68,D69*(U$8-A68)/(A69-A68)),"")))</f>
        <v/>
      </c>
      <c r="V67" s="67" t="str">
        <f>IF(A68="","",IF(A69="",IF(YEAR(A68)=2009,SUM(D$12:D68),""),IF(AND(YEAR(A68)=2009,YEAR(A69)=2010),SUM(D$12:D68,D69*(V$8-A68)/(A69-A68)),"")))</f>
        <v/>
      </c>
      <c r="W67" s="67" t="str">
        <f>IF(A68="","",IF(A69="",IF(YEAR(A68)=2010,SUM(D$12:D68),""),IF(AND(YEAR(A68)=2010,YEAR(A69)=2011),SUM(D$12:D68,D69*(W$8-A68)/(A69-A68)),"")))</f>
        <v/>
      </c>
      <c r="X67" s="67" t="str">
        <f>IF(A68="","",IF(A69="",IF(YEAR(A68)=2011,SUM(D$12:D68),""),IF(AND(YEAR(A68)=2011,YEAR(A69)=2012),SUM(D$12:D68,D69*(X$8-A68)/(A69-A68)),"")))</f>
        <v/>
      </c>
      <c r="Y67" s="72" t="str">
        <f>IF(A68="","",IF(A69="",IF(YEAR(A68)=2012,SUM(D$12:D68),""),IF(AND(YEAR(A68)=2012,YEAR(A69)=2013),SUM(D$12:D68,D69*(Y$8-A68)/(A69-A68)),"")))</f>
        <v/>
      </c>
      <c r="Z67" s="67" t="str">
        <f>IF($A68="","",IF($A69="",IF(YEAR($A68)=2002,SUM($J$12:$J68),""),IF(AND(YEAR($A68)=2002,YEAR($A69)=2003),SUM($J$12:$J68,$J69*(O$8-$A68)/($A69-$A68)),"")))</f>
        <v/>
      </c>
      <c r="AA67" s="67" t="str">
        <f>IF($A68="","",IF($A69="",IF(YEAR($A68)=2003,SUM($J$12:$J68),""),IF(AND(YEAR($A68)=2003,YEAR($A69)=2004),SUM($J$12:$J68,$J69*(P$8-$A68)/($A69-$A68)),"")))</f>
        <v/>
      </c>
      <c r="AB67" s="67" t="str">
        <f>IF($A68="","",IF($A69="",IF(YEAR($A68)=2004,SUM($J$12:$J68),""),IF(AND(YEAR($A68)=2004,YEAR($A69)=2005),SUM($J$12:$J68,$J69*(Q$8-$A68)/($A69-$A68)),"")))</f>
        <v/>
      </c>
      <c r="AC67" s="67" t="str">
        <f>IF($A68="","",IF($A69="",IF(YEAR($A68)=2005,SUM($J$12:$J68),""),IF(AND(YEAR($A68)=2005,YEAR($A69)=2006),SUM($J$12:$J68,$J69*(R$8-$A68)/($A69-$A68)),"")))</f>
        <v/>
      </c>
      <c r="AD67" s="67" t="str">
        <f>IF($A68="","",IF($A69="",IF(YEAR($A68)=2006,SUM($J$12:$J68),""),IF(AND(YEAR($A68)=2006,YEAR($A69)=2007),SUM($J$12:$J68,$J69*(S$8-$A68)/($A69-$A68)),"")))</f>
        <v/>
      </c>
      <c r="AE67" s="67" t="str">
        <f>IF($A68="","",IF($A69="",IF(YEAR($A68)=2007,SUM($J$12:$J68),""),IF(AND(YEAR($A68)=2007,YEAR($A69)=2008),SUM($J$12:$J68,$J69*(T$8-$A68)/($A69-$A68)),"")))</f>
        <v/>
      </c>
      <c r="AF67" s="67" t="str">
        <f>IF($A68="","",IF($A69="",IF(YEAR($A68)=2008,SUM($J$12:$J68),""),IF(AND(YEAR($A68)=2008,YEAR($A69)=2009),SUM($J$12:$J68,$J69*(U$8-$A68)/($A69-$A68)),"")))</f>
        <v/>
      </c>
      <c r="AG67" s="67" t="str">
        <f>IF($A68="","",IF($A69="",IF(YEAR($A68)=2009,SUM($J$12:$J68),""),IF(AND(YEAR($A68)=2009,YEAR($A69)=2010),SUM($J$12:$J68,$J69*(V$8-$A68)/($A69-$A68)),"")))</f>
        <v/>
      </c>
      <c r="AH67" s="67" t="str">
        <f>IF($A68="","",IF($A69="",IF(YEAR($A68)=2010,SUM($J$12:$J68),""),IF(AND(YEAR($A68)=2010,YEAR($A69)=2011),SUM($J$12:$J68,$J69*(W$8-$A68)/($A69-$A68)),"")))</f>
        <v/>
      </c>
      <c r="AI67" s="67" t="str">
        <f>IF($A68="","",IF($A69="",IF(YEAR($A68)=2011,SUM($J$12:$J68),""),IF(AND(YEAR($A68)=2011,YEAR($A69)=2012),SUM($J$12:$J68,$J69*(X$8-$A68)/($A69-$A68)),"")))</f>
        <v/>
      </c>
      <c r="AJ67" s="67" t="str">
        <f>IF($A68="","",IF($A69="",IF(YEAR($A68)=2012,SUM($J$12:$J68),""),IF(AND(YEAR($A68)=2012,YEAR($A69)=2013),SUM($J$12:$J68,$J69*(Y$8-$A68)/($A69-$A68)),"")))</f>
        <v/>
      </c>
    </row>
    <row r="68" spans="1:36" x14ac:dyDescent="0.2">
      <c r="A68" s="309" t="str">
        <f t="shared" si="0"/>
        <v/>
      </c>
      <c r="B68" s="168" t="str">
        <f>IF($E$5*$E$7&lt;56," ",56)</f>
        <v xml:space="preserve"> </v>
      </c>
      <c r="C68" s="201" t="str">
        <f>IF(AND(B66=" ",B67=" ",B68=" ")," ",IF(B67=" ",SUM(C$13:C66),IF(B68=" "," ",D68+E68)))</f>
        <v xml:space="preserve"> </v>
      </c>
      <c r="D68" s="201" t="str">
        <f>IF(AND(B66=" ",B67=" ",B68=" ")," ",IF(B67=" ",SUM(D$13:D66),IF(B68=" "," ",ROUND(F67*E$6/E$7,2))))</f>
        <v xml:space="preserve"> </v>
      </c>
      <c r="E68" s="201" t="str">
        <f>IF(AND(B66=" ",B67=" ",B68=" ")," ",IF(B67=" ",SUM(E$13:E66),IF(B68=" "," ",E$8)))</f>
        <v xml:space="preserve"> </v>
      </c>
      <c r="F68" s="201" t="str">
        <f>IF(AND(B66=" ",B67=" ",B68=" ")," ",IF(B67=" ",SUM(F$12:F65),IF(B68=" "," ",F67-E68)))</f>
        <v xml:space="preserve"> </v>
      </c>
      <c r="G68" s="201" t="str">
        <f>IF(AND(B66=" ",B67=" ",B68=" ")," ",IF(B67=" ",SUM(G$12:G66),IF(B69=" ",IF(E$5*E$7=B68,C68-C$7+C$8+G$10," "),C68)))</f>
        <v xml:space="preserve"> </v>
      </c>
      <c r="H68" s="204" t="str">
        <f>IF(AND(B66=" ",B67=" ",B68=" ")," ",IF(B67=" ",SUM(H$13:H66)*E$7,IF(B68=" "," ",IF(B69=" ",IF(E$5*E$7=B68,IRR(G$12:G68,0.01)," ")," "))))</f>
        <v xml:space="preserve"> </v>
      </c>
      <c r="I68" s="202" t="str">
        <f t="shared" si="1"/>
        <v/>
      </c>
      <c r="J68" s="202" t="str">
        <f t="shared" si="2"/>
        <v/>
      </c>
      <c r="K68" s="55"/>
      <c r="L68" s="56"/>
      <c r="O68" s="67"/>
      <c r="P68" s="67" t="str">
        <f>IF($A69="","",IF($A70="",IF(YEAR($A69)=2003,SUM($D$12:$D69),""),IF(AND(YEAR($A69)=2003,YEAR($A70)=2004),SUM($D$12:$D69,$D70*(P$8-$A69)/($A70-$A69)),"")))</f>
        <v/>
      </c>
      <c r="Q68" s="67" t="str">
        <f>IF(A69="","",IF(A70="",IF(YEAR(A69)=2004,SUM(D$12:D69),""),IF(AND(YEAR(A69)=2004,YEAR(A70)=2005),SUM(D$12:D69,D70*(Q$8-A69)/(A70-A69)),"")))</f>
        <v/>
      </c>
      <c r="R68" s="67" t="str">
        <f>IF(A69="","",IF(A70="",IF(YEAR(A69)=2005,SUM(D$12:D69),""),IF(AND(YEAR(A69)=2005,YEAR(A70)=2006),SUM(D$12:D69,D70*(R$8-A69)/(A70-A69)),"")))</f>
        <v/>
      </c>
      <c r="S68" s="67" t="str">
        <f>IF(A69="","",IF(A70="",IF(YEAR(A69)=2006,SUM(D$12:D69),""),IF(AND(YEAR(A69)=2006,YEAR(A70)=2007),SUM(D$12:D69,D70*(S$8-A69)/(A70-A69)),"")))</f>
        <v/>
      </c>
      <c r="T68" s="67" t="str">
        <f>IF(A69="","",IF(A70="",IF(YEAR(A69)=2007,SUM(D$12:D69),""),IF(AND(YEAR(A69)=2007,YEAR(A70)=2008),SUM(D$12:D69,D70*(T$8-A69)/(A70-A69)),"")))</f>
        <v/>
      </c>
      <c r="U68" s="67" t="str">
        <f>IF(A69="","",IF(A70="",IF(YEAR(A69)=2008,SUM(D$12:D69),""),IF(AND(YEAR(A69)=2008,YEAR(A70)=2009),SUM(D$12:D69,D70*(U$8-A69)/(A70-A69)),"")))</f>
        <v/>
      </c>
      <c r="V68" s="67" t="str">
        <f>IF(A69="","",IF(A70="",IF(YEAR(A69)=2009,SUM(D$12:D69),""),IF(AND(YEAR(A69)=2009,YEAR(A70)=2010),SUM(D$12:D69,D70*(V$8-A69)/(A70-A69)),"")))</f>
        <v/>
      </c>
      <c r="W68" s="67" t="str">
        <f>IF(A69="","",IF(A70="",IF(YEAR(A69)=2010,SUM(D$12:D69),""),IF(AND(YEAR(A69)=2010,YEAR(A70)=2011),SUM(D$12:D69,D70*(W$8-A69)/(A70-A69)),"")))</f>
        <v/>
      </c>
      <c r="X68" s="67" t="str">
        <f>IF(A69="","",IF(A70="",IF(YEAR(A69)=2011,SUM(D$12:D69),""),IF(AND(YEAR(A69)=2011,YEAR(A70)=2012),SUM(D$12:D69,D70*(X$8-A69)/(A70-A69)),"")))</f>
        <v/>
      </c>
      <c r="Y68" s="72" t="str">
        <f>IF(A69="","",IF(A70="",IF(YEAR(A69)=2012,SUM(D$12:D69),""),IF(AND(YEAR(A69)=2012,YEAR(A70)=2013),SUM(D$12:D69,D70*(Y$8-A69)/(A70-A69)),"")))</f>
        <v/>
      </c>
      <c r="Z68" s="67" t="str">
        <f>IF($A69="","",IF($A70="",IF(YEAR($A69)=2002,SUM($J$12:$J69),""),IF(AND(YEAR($A69)=2002,YEAR($A70)=2003),SUM($J$12:$J69,$J70*(O$8-$A69)/($A70-$A69)),"")))</f>
        <v/>
      </c>
      <c r="AA68" s="67" t="str">
        <f>IF($A69="","",IF($A70="",IF(YEAR($A69)=2003,SUM($J$12:$J69),""),IF(AND(YEAR($A69)=2003,YEAR($A70)=2004),SUM($J$12:$J69,$J70*(P$8-$A69)/($A70-$A69)),"")))</f>
        <v/>
      </c>
      <c r="AB68" s="67" t="str">
        <f>IF($A69="","",IF($A70="",IF(YEAR($A69)=2004,SUM($J$12:$J69),""),IF(AND(YEAR($A69)=2004,YEAR($A70)=2005),SUM($J$12:$J69,$J70*(Q$8-$A69)/($A70-$A69)),"")))</f>
        <v/>
      </c>
      <c r="AC68" s="67" t="str">
        <f>IF($A69="","",IF($A70="",IF(YEAR($A69)=2005,SUM($J$12:$J69),""),IF(AND(YEAR($A69)=2005,YEAR($A70)=2006),SUM($J$12:$J69,$J70*(R$8-$A69)/($A70-$A69)),"")))</f>
        <v/>
      </c>
      <c r="AD68" s="67" t="str">
        <f>IF($A69="","",IF($A70="",IF(YEAR($A69)=2006,SUM($J$12:$J69),""),IF(AND(YEAR($A69)=2006,YEAR($A70)=2007),SUM($J$12:$J69,$J70*(S$8-$A69)/($A70-$A69)),"")))</f>
        <v/>
      </c>
      <c r="AE68" s="67" t="str">
        <f>IF($A69="","",IF($A70="",IF(YEAR($A69)=2007,SUM($J$12:$J69),""),IF(AND(YEAR($A69)=2007,YEAR($A70)=2008),SUM($J$12:$J69,$J70*(T$8-$A69)/($A70-$A69)),"")))</f>
        <v/>
      </c>
      <c r="AF68" s="67" t="str">
        <f>IF($A69="","",IF($A70="",IF(YEAR($A69)=2008,SUM($J$12:$J69),""),IF(AND(YEAR($A69)=2008,YEAR($A70)=2009),SUM($J$12:$J69,$J70*(U$8-$A69)/($A70-$A69)),"")))</f>
        <v/>
      </c>
      <c r="AG68" s="67" t="str">
        <f>IF($A69="","",IF($A70="",IF(YEAR($A69)=2009,SUM($J$12:$J69),""),IF(AND(YEAR($A69)=2009,YEAR($A70)=2010),SUM($J$12:$J69,$J70*(V$8-$A69)/($A70-$A69)),"")))</f>
        <v/>
      </c>
      <c r="AH68" s="67" t="str">
        <f>IF($A69="","",IF($A70="",IF(YEAR($A69)=2010,SUM($J$12:$J69),""),IF(AND(YEAR($A69)=2010,YEAR($A70)=2011),SUM($J$12:$J69,$J70*(W$8-$A69)/($A70-$A69)),"")))</f>
        <v/>
      </c>
      <c r="AI68" s="67" t="str">
        <f>IF($A69="","",IF($A70="",IF(YEAR($A69)=2011,SUM($J$12:$J69),""),IF(AND(YEAR($A69)=2011,YEAR($A70)=2012),SUM($J$12:$J69,$J70*(X$8-$A69)/($A70-$A69)),"")))</f>
        <v/>
      </c>
      <c r="AJ68" s="67" t="str">
        <f>IF($A69="","",IF($A70="",IF(YEAR($A69)=2012,SUM($J$12:$J69),""),IF(AND(YEAR($A69)=2012,YEAR($A70)=2013),SUM($J$12:$J69,$J70*(Y$8-$A69)/($A70-$A69)),"")))</f>
        <v/>
      </c>
    </row>
    <row r="69" spans="1:36" x14ac:dyDescent="0.2">
      <c r="A69" s="309" t="str">
        <f t="shared" si="0"/>
        <v/>
      </c>
      <c r="B69" s="168" t="str">
        <f>IF($E$5*$E$7&lt;57," ",57)</f>
        <v xml:space="preserve"> </v>
      </c>
      <c r="C69" s="201" t="str">
        <f>IF(AND(B67=" ",B68=" ",B69=" ")," ",IF(B68=" ",SUM(C$13:C67),IF(B69=" "," ",D69+E69)))</f>
        <v xml:space="preserve"> </v>
      </c>
      <c r="D69" s="201" t="str">
        <f>IF(AND(B67=" ",B68=" ",B69=" ")," ",IF(B68=" ",SUM(D$13:D67),IF(B69=" "," ",ROUND(F68*E$6/E$7,2))))</f>
        <v xml:space="preserve"> </v>
      </c>
      <c r="E69" s="201" t="str">
        <f>IF(AND(B67=" ",B68=" ",B69=" ")," ",IF(B68=" ",SUM(E$13:E67),IF(B69=" "," ",E$8)))</f>
        <v xml:space="preserve"> </v>
      </c>
      <c r="F69" s="201" t="str">
        <f>IF(AND(B67=" ",B68=" ",B69=" ")," ",IF(B68=" ",SUM(F$12:F66),IF(B69=" "," ",F68-E69)))</f>
        <v xml:space="preserve"> </v>
      </c>
      <c r="G69" s="201" t="str">
        <f>IF(AND(B67=" ",B68=" ",B69=" ")," ",IF(B68=" ",SUM(G$12:G67),IF(B70=" ",IF(E$5*E$7=B69,C69-C$7+C$8+G$10," "),C69)))</f>
        <v xml:space="preserve"> </v>
      </c>
      <c r="H69" s="204" t="str">
        <f>IF(AND(B67=" ",B68=" ",B69=" ")," ",IF(B68=" ",SUM(H$13:H67)*E$7,IF(B69=" "," ",IF(B70=" ",IF(E$5*E$7=B69,IRR(G$12:G69,0.01)," ")," "))))</f>
        <v xml:space="preserve"> </v>
      </c>
      <c r="I69" s="202" t="str">
        <f t="shared" si="1"/>
        <v/>
      </c>
      <c r="J69" s="202" t="str">
        <f t="shared" si="2"/>
        <v/>
      </c>
      <c r="K69" s="55"/>
      <c r="L69" s="56"/>
      <c r="O69" s="67"/>
      <c r="P69" s="67" t="str">
        <f>IF($A70="","",IF($A71="",IF(YEAR($A70)=2003,SUM($D$12:$D70),""),IF(AND(YEAR($A70)=2003,YEAR($A71)=2004),SUM($D$12:$D70,$D71*(P$8-$A70)/($A71-$A70)),"")))</f>
        <v/>
      </c>
      <c r="Q69" s="67" t="str">
        <f>IF(A70="","",IF(A71="",IF(YEAR(A70)=2004,SUM(D$12:D70),""),IF(AND(YEAR(A70)=2004,YEAR(A71)=2005),SUM(D$12:D70,D71*(Q$8-A70)/(A71-A70)),"")))</f>
        <v/>
      </c>
      <c r="R69" s="67" t="str">
        <f>IF(A70="","",IF(A71="",IF(YEAR(A70)=2005,SUM(D$12:D70),""),IF(AND(YEAR(A70)=2005,YEAR(A71)=2006),SUM(D$12:D70,D71*(R$8-A70)/(A71-A70)),"")))</f>
        <v/>
      </c>
      <c r="S69" s="67" t="str">
        <f>IF(A70="","",IF(A71="",IF(YEAR(A70)=2006,SUM(D$12:D70),""),IF(AND(YEAR(A70)=2006,YEAR(A71)=2007),SUM(D$12:D70,D71*(S$8-A70)/(A71-A70)),"")))</f>
        <v/>
      </c>
      <c r="T69" s="67" t="str">
        <f>IF(A70="","",IF(A71="",IF(YEAR(A70)=2007,SUM(D$12:D70),""),IF(AND(YEAR(A70)=2007,YEAR(A71)=2008),SUM(D$12:D70,D71*(T$8-A70)/(A71-A70)),"")))</f>
        <v/>
      </c>
      <c r="U69" s="67" t="str">
        <f>IF(A70="","",IF(A71="",IF(YEAR(A70)=2008,SUM(D$12:D70),""),IF(AND(YEAR(A70)=2008,YEAR(A71)=2009),SUM(D$12:D70,D71*(U$8-A70)/(A71-A70)),"")))</f>
        <v/>
      </c>
      <c r="V69" s="67" t="str">
        <f>IF(A70="","",IF(A71="",IF(YEAR(A70)=2009,SUM(D$12:D70),""),IF(AND(YEAR(A70)=2009,YEAR(A71)=2010),SUM(D$12:D70,D71*(V$8-A70)/(A71-A70)),"")))</f>
        <v/>
      </c>
      <c r="W69" s="67" t="str">
        <f>IF(A70="","",IF(A71="",IF(YEAR(A70)=2010,SUM(D$12:D70),""),IF(AND(YEAR(A70)=2010,YEAR(A71)=2011),SUM(D$12:D70,D71*(W$8-A70)/(A71-A70)),"")))</f>
        <v/>
      </c>
      <c r="X69" s="67" t="str">
        <f>IF(A70="","",IF(A71="",IF(YEAR(A70)=2011,SUM(D$12:D70),""),IF(AND(YEAR(A70)=2011,YEAR(A71)=2012),SUM(D$12:D70,D71*(X$8-A70)/(A71-A70)),"")))</f>
        <v/>
      </c>
      <c r="Y69" s="72" t="str">
        <f>IF(A70="","",IF(A71="",IF(YEAR(A70)=2012,SUM(D$12:D70),""),IF(AND(YEAR(A70)=2012,YEAR(A71)=2013),SUM(D$12:D70,D71*(Y$8-A70)/(A71-A70)),"")))</f>
        <v/>
      </c>
      <c r="Z69" s="67" t="str">
        <f>IF($A70="","",IF($A71="",IF(YEAR($A70)=2002,SUM($J$12:$J70),""),IF(AND(YEAR($A70)=2002,YEAR($A71)=2003),SUM($J$12:$J70,$J71*(O$8-$A70)/($A71-$A70)),"")))</f>
        <v/>
      </c>
      <c r="AA69" s="67" t="str">
        <f>IF($A70="","",IF($A71="",IF(YEAR($A70)=2003,SUM($J$12:$J70),""),IF(AND(YEAR($A70)=2003,YEAR($A71)=2004),SUM($J$12:$J70,$J71*(P$8-$A70)/($A71-$A70)),"")))</f>
        <v/>
      </c>
      <c r="AB69" s="67" t="str">
        <f>IF($A70="","",IF($A71="",IF(YEAR($A70)=2004,SUM($J$12:$J70),""),IF(AND(YEAR($A70)=2004,YEAR($A71)=2005),SUM($J$12:$J70,$J71*(Q$8-$A70)/($A71-$A70)),"")))</f>
        <v/>
      </c>
      <c r="AC69" s="67" t="str">
        <f>IF($A70="","",IF($A71="",IF(YEAR($A70)=2005,SUM($J$12:$J70),""),IF(AND(YEAR($A70)=2005,YEAR($A71)=2006),SUM($J$12:$J70,$J71*(R$8-$A70)/($A71-$A70)),"")))</f>
        <v/>
      </c>
      <c r="AD69" s="67" t="str">
        <f>IF($A70="","",IF($A71="",IF(YEAR($A70)=2006,SUM($J$12:$J70),""),IF(AND(YEAR($A70)=2006,YEAR($A71)=2007),SUM($J$12:$J70,$J71*(S$8-$A70)/($A71-$A70)),"")))</f>
        <v/>
      </c>
      <c r="AE69" s="67" t="str">
        <f>IF($A70="","",IF($A71="",IF(YEAR($A70)=2007,SUM($J$12:$J70),""),IF(AND(YEAR($A70)=2007,YEAR($A71)=2008),SUM($J$12:$J70,$J71*(T$8-$A70)/($A71-$A70)),"")))</f>
        <v/>
      </c>
      <c r="AF69" s="67" t="str">
        <f>IF($A70="","",IF($A71="",IF(YEAR($A70)=2008,SUM($J$12:$J70),""),IF(AND(YEAR($A70)=2008,YEAR($A71)=2009),SUM($J$12:$J70,$J71*(U$8-$A70)/($A71-$A70)),"")))</f>
        <v/>
      </c>
      <c r="AG69" s="67" t="str">
        <f>IF($A70="","",IF($A71="",IF(YEAR($A70)=2009,SUM($J$12:$J70),""),IF(AND(YEAR($A70)=2009,YEAR($A71)=2010),SUM($J$12:$J70,$J71*(V$8-$A70)/($A71-$A70)),"")))</f>
        <v/>
      </c>
      <c r="AH69" s="67" t="str">
        <f>IF($A70="","",IF($A71="",IF(YEAR($A70)=2010,SUM($J$12:$J70),""),IF(AND(YEAR($A70)=2010,YEAR($A71)=2011),SUM($J$12:$J70,$J71*(W$8-$A70)/($A71-$A70)),"")))</f>
        <v/>
      </c>
      <c r="AI69" s="67" t="str">
        <f>IF($A70="","",IF($A71="",IF(YEAR($A70)=2011,SUM($J$12:$J70),""),IF(AND(YEAR($A70)=2011,YEAR($A71)=2012),SUM($J$12:$J70,$J71*(X$8-$A70)/($A71-$A70)),"")))</f>
        <v/>
      </c>
      <c r="AJ69" s="67" t="str">
        <f>IF($A70="","",IF($A71="",IF(YEAR($A70)=2012,SUM($J$12:$J70),""),IF(AND(YEAR($A70)=2012,YEAR($A71)=2013),SUM($J$12:$J70,$J71*(Y$8-$A70)/($A71-$A70)),"")))</f>
        <v/>
      </c>
    </row>
    <row r="70" spans="1:36" x14ac:dyDescent="0.2">
      <c r="A70" s="309" t="str">
        <f t="shared" si="0"/>
        <v/>
      </c>
      <c r="B70" s="168" t="str">
        <f>IF($E$5*$E$7&lt;58," ",58)</f>
        <v xml:space="preserve"> </v>
      </c>
      <c r="C70" s="201" t="str">
        <f>IF(AND(B68=" ",B69=" ",B70=" ")," ",IF(B69=" ",SUM(C$13:C68),IF(B70=" "," ",D70+E70)))</f>
        <v xml:space="preserve"> </v>
      </c>
      <c r="D70" s="201" t="str">
        <f>IF(AND(B68=" ",B69=" ",B70=" ")," ",IF(B69=" ",SUM(D$13:D68),IF(B70=" "," ",ROUND(F69*E$6/E$7,2))))</f>
        <v xml:space="preserve"> </v>
      </c>
      <c r="E70" s="201" t="str">
        <f>IF(AND(B68=" ",B69=" ",B70=" ")," ",IF(B69=" ",SUM(E$13:E68),IF(B70=" "," ",E$8)))</f>
        <v xml:space="preserve"> </v>
      </c>
      <c r="F70" s="201" t="str">
        <f>IF(AND(B68=" ",B69=" ",B70=" ")," ",IF(B69=" ",SUM(F$12:F67),IF(B70=" "," ",F69-E70)))</f>
        <v xml:space="preserve"> </v>
      </c>
      <c r="G70" s="201" t="str">
        <f>IF(AND(B68=" ",B69=" ",B70=" ")," ",IF(B69=" ",SUM(G$12:G68),IF(B71=" ",IF(E$5*E$7=B70,C70-C$7+C$8+G$10," "),C70)))</f>
        <v xml:space="preserve"> </v>
      </c>
      <c r="H70" s="204" t="str">
        <f>IF(AND(B68=" ",B69=" ",B70=" ")," ",IF(B69=" ",SUM(H$13:H68)*E$7,IF(B70=" "," ",IF(B71=" ",IF(E$5*E$7=B70,IRR(G$12:G70,0.01)," ")," "))))</f>
        <v xml:space="preserve"> </v>
      </c>
      <c r="I70" s="202" t="str">
        <f t="shared" si="1"/>
        <v/>
      </c>
      <c r="J70" s="202" t="str">
        <f t="shared" si="2"/>
        <v/>
      </c>
      <c r="K70" s="55"/>
      <c r="L70" s="56"/>
      <c r="O70" s="67"/>
      <c r="P70" s="67" t="str">
        <f>IF($A71="","",IF($A72="",IF(YEAR($A71)=2003,SUM($D$12:$D71),""),IF(AND(YEAR($A71)=2003,YEAR($A72)=2004),SUM($D$12:$D71,$D72*(P$8-$A71)/($A72-$A71)),"")))</f>
        <v/>
      </c>
      <c r="Q70" s="67" t="str">
        <f>IF(A71="","",IF(A72="",IF(YEAR(A71)=2004,SUM(D$12:D71),""),IF(AND(YEAR(A71)=2004,YEAR(A72)=2005),SUM(D$12:D71,D72*(Q$8-A71)/(A72-A71)),"")))</f>
        <v/>
      </c>
      <c r="R70" s="67" t="str">
        <f>IF(A71="","",IF(A72="",IF(YEAR(A71)=2005,SUM(D$12:D71),""),IF(AND(YEAR(A71)=2005,YEAR(A72)=2006),SUM(D$12:D71,D72*(R$8-A71)/(A72-A71)),"")))</f>
        <v/>
      </c>
      <c r="S70" s="67" t="str">
        <f>IF(A71="","",IF(A72="",IF(YEAR(A71)=2006,SUM(D$12:D71),""),IF(AND(YEAR(A71)=2006,YEAR(A72)=2007),SUM(D$12:D71,D72*(S$8-A71)/(A72-A71)),"")))</f>
        <v/>
      </c>
      <c r="T70" s="67" t="str">
        <f>IF(A71="","",IF(A72="",IF(YEAR(A71)=2007,SUM(D$12:D71),""),IF(AND(YEAR(A71)=2007,YEAR(A72)=2008),SUM(D$12:D71,D72*(T$8-A71)/(A72-A71)),"")))</f>
        <v/>
      </c>
      <c r="U70" s="67" t="str">
        <f>IF(A71="","",IF(A72="",IF(YEAR(A71)=2008,SUM(D$12:D71),""),IF(AND(YEAR(A71)=2008,YEAR(A72)=2009),SUM(D$12:D71,D72*(U$8-A71)/(A72-A71)),"")))</f>
        <v/>
      </c>
      <c r="V70" s="67" t="str">
        <f>IF(A71="","",IF(A72="",IF(YEAR(A71)=2009,SUM(D$12:D71),""),IF(AND(YEAR(A71)=2009,YEAR(A72)=2010),SUM(D$12:D71,D72*(V$8-A71)/(A72-A71)),"")))</f>
        <v/>
      </c>
      <c r="W70" s="67" t="str">
        <f>IF(A71="","",IF(A72="",IF(YEAR(A71)=2010,SUM(D$12:D71),""),IF(AND(YEAR(A71)=2010,YEAR(A72)=2011),SUM(D$12:D71,D72*(W$8-A71)/(A72-A71)),"")))</f>
        <v/>
      </c>
      <c r="X70" s="67" t="str">
        <f>IF(A71="","",IF(A72="",IF(YEAR(A71)=2011,SUM(D$12:D71),""),IF(AND(YEAR(A71)=2011,YEAR(A72)=2012),SUM(D$12:D71,D72*(X$8-A71)/(A72-A71)),"")))</f>
        <v/>
      </c>
      <c r="Y70" s="72" t="str">
        <f>IF(A71="","",IF(A72="",IF(YEAR(A71)=2012,SUM(D$12:D71),""),IF(AND(YEAR(A71)=2012,YEAR(A72)=2013),SUM(D$12:D71,D72*(Y$8-A71)/(A72-A71)),"")))</f>
        <v/>
      </c>
      <c r="Z70" s="67" t="str">
        <f>IF($A71="","",IF($A72="",IF(YEAR($A71)=2002,SUM($J$12:$J71),""),IF(AND(YEAR($A71)=2002,YEAR($A72)=2003),SUM($J$12:$J71,$J72*(O$8-$A71)/($A72-$A71)),"")))</f>
        <v/>
      </c>
      <c r="AA70" s="67" t="str">
        <f>IF($A71="","",IF($A72="",IF(YEAR($A71)=2003,SUM($J$12:$J71),""),IF(AND(YEAR($A71)=2003,YEAR($A72)=2004),SUM($J$12:$J71,$J72*(P$8-$A71)/($A72-$A71)),"")))</f>
        <v/>
      </c>
      <c r="AB70" s="67" t="str">
        <f>IF($A71="","",IF($A72="",IF(YEAR($A71)=2004,SUM($J$12:$J71),""),IF(AND(YEAR($A71)=2004,YEAR($A72)=2005),SUM($J$12:$J71,$J72*(Q$8-$A71)/($A72-$A71)),"")))</f>
        <v/>
      </c>
      <c r="AC70" s="67" t="str">
        <f>IF($A71="","",IF($A72="",IF(YEAR($A71)=2005,SUM($J$12:$J71),""),IF(AND(YEAR($A71)=2005,YEAR($A72)=2006),SUM($J$12:$J71,$J72*(R$8-$A71)/($A72-$A71)),"")))</f>
        <v/>
      </c>
      <c r="AD70" s="67" t="str">
        <f>IF($A71="","",IF($A72="",IF(YEAR($A71)=2006,SUM($J$12:$J71),""),IF(AND(YEAR($A71)=2006,YEAR($A72)=2007),SUM($J$12:$J71,$J72*(S$8-$A71)/($A72-$A71)),"")))</f>
        <v/>
      </c>
      <c r="AE70" s="67" t="str">
        <f>IF($A71="","",IF($A72="",IF(YEAR($A71)=2007,SUM($J$12:$J71),""),IF(AND(YEAR($A71)=2007,YEAR($A72)=2008),SUM($J$12:$J71,$J72*(T$8-$A71)/($A72-$A71)),"")))</f>
        <v/>
      </c>
      <c r="AF70" s="67" t="str">
        <f>IF($A71="","",IF($A72="",IF(YEAR($A71)=2008,SUM($J$12:$J71),""),IF(AND(YEAR($A71)=2008,YEAR($A72)=2009),SUM($J$12:$J71,$J72*(U$8-$A71)/($A72-$A71)),"")))</f>
        <v/>
      </c>
      <c r="AG70" s="67" t="str">
        <f>IF($A71="","",IF($A72="",IF(YEAR($A71)=2009,SUM($J$12:$J71),""),IF(AND(YEAR($A71)=2009,YEAR($A72)=2010),SUM($J$12:$J71,$J72*(V$8-$A71)/($A72-$A71)),"")))</f>
        <v/>
      </c>
      <c r="AH70" s="67" t="str">
        <f>IF($A71="","",IF($A72="",IF(YEAR($A71)=2010,SUM($J$12:$J71),""),IF(AND(YEAR($A71)=2010,YEAR($A72)=2011),SUM($J$12:$J71,$J72*(W$8-$A71)/($A72-$A71)),"")))</f>
        <v/>
      </c>
      <c r="AI70" s="67" t="str">
        <f>IF($A71="","",IF($A72="",IF(YEAR($A71)=2011,SUM($J$12:$J71),""),IF(AND(YEAR($A71)=2011,YEAR($A72)=2012),SUM($J$12:$J71,$J72*(X$8-$A71)/($A72-$A71)),"")))</f>
        <v/>
      </c>
      <c r="AJ70" s="67" t="str">
        <f>IF($A71="","",IF($A72="",IF(YEAR($A71)=2012,SUM($J$12:$J71),""),IF(AND(YEAR($A71)=2012,YEAR($A72)=2013),SUM($J$12:$J71,$J72*(Y$8-$A71)/($A72-$A71)),"")))</f>
        <v/>
      </c>
    </row>
    <row r="71" spans="1:36" x14ac:dyDescent="0.2">
      <c r="A71" s="309" t="str">
        <f t="shared" si="0"/>
        <v/>
      </c>
      <c r="B71" s="168" t="str">
        <f>IF($E$5*$E$7&lt;59," ",59)</f>
        <v xml:space="preserve"> </v>
      </c>
      <c r="C71" s="201" t="str">
        <f>IF(AND(B69=" ",B70=" ",B71=" ")," ",IF(B70=" ",SUM(C$13:C69),IF(B71=" "," ",D71+E71)))</f>
        <v xml:space="preserve"> </v>
      </c>
      <c r="D71" s="201" t="str">
        <f>IF(AND(B69=" ",B70=" ",B71=" ")," ",IF(B70=" ",SUM(D$13:D69),IF(B71=" "," ",ROUND(F70*E$6/E$7,2))))</f>
        <v xml:space="preserve"> </v>
      </c>
      <c r="E71" s="201" t="str">
        <f>IF(AND(B69=" ",B70=" ",B71=" ")," ",IF(B70=" ",SUM(E$13:E69),IF(B71=" "," ",E$8)))</f>
        <v xml:space="preserve"> </v>
      </c>
      <c r="F71" s="201" t="str">
        <f>IF(AND(B69=" ",B70=" ",B71=" ")," ",IF(B70=" ",SUM(F$12:F68),IF(B71=" "," ",F70-E71)))</f>
        <v xml:space="preserve"> </v>
      </c>
      <c r="G71" s="201" t="str">
        <f>IF(AND(B69=" ",B70=" ",B71=" ")," ",IF(B70=" ",SUM(G$12:G69),IF(B72=" ",IF(E$5*E$7=B71,C71-C$7+C$8+G$10," "),C71)))</f>
        <v xml:space="preserve"> </v>
      </c>
      <c r="H71" s="204" t="str">
        <f>IF(AND(B69=" ",B70=" ",B71=" ")," ",IF(B70=" ",SUM(H$13:H69)*E$7,IF(B71=" "," ",IF(B72=" ",IF(E$5*E$7=B71,IRR(G$12:G71,0.01)," ")," "))))</f>
        <v xml:space="preserve"> </v>
      </c>
      <c r="I71" s="202" t="str">
        <f t="shared" si="1"/>
        <v/>
      </c>
      <c r="J71" s="202" t="str">
        <f t="shared" si="2"/>
        <v/>
      </c>
      <c r="K71" s="55"/>
      <c r="L71" s="56"/>
      <c r="O71" s="67"/>
      <c r="P71" s="67" t="str">
        <f>IF($A72="","",IF($A73="",IF(YEAR($A72)=2003,SUM($D$12:$D72),""),IF(AND(YEAR($A72)=2003,YEAR($A73)=2004),SUM($D$12:$D72,$D73*(P$8-$A72)/($A73-$A72)),"")))</f>
        <v/>
      </c>
      <c r="Q71" s="67" t="str">
        <f>IF(A72="","",IF(A73="",IF(YEAR(A72)=2004,SUM(D$12:D72),""),IF(AND(YEAR(A72)=2004,YEAR(A73)=2005),SUM(D$12:D72,D73*(Q$8-A72)/(A73-A72)),"")))</f>
        <v/>
      </c>
      <c r="R71" s="67" t="str">
        <f>IF(A72="","",IF(A73="",IF(YEAR(A72)=2005,SUM(D$12:D72),""),IF(AND(YEAR(A72)=2005,YEAR(A73)=2006),SUM(D$12:D72,D73*(R$8-A72)/(A73-A72)),"")))</f>
        <v/>
      </c>
      <c r="S71" s="67" t="str">
        <f>IF(A72="","",IF(A73="",IF(YEAR(A72)=2006,SUM(D$12:D72),""),IF(AND(YEAR(A72)=2006,YEAR(A73)=2007),SUM(D$12:D72,D73*(S$8-A72)/(A73-A72)),"")))</f>
        <v/>
      </c>
      <c r="T71" s="67" t="str">
        <f>IF(A72="","",IF(A73="",IF(YEAR(A72)=2007,SUM(D$12:D72),""),IF(AND(YEAR(A72)=2007,YEAR(A73)=2008),SUM(D$12:D72,D73*(T$8-A72)/(A73-A72)),"")))</f>
        <v/>
      </c>
      <c r="U71" s="67" t="str">
        <f>IF(A72="","",IF(A73="",IF(YEAR(A72)=2008,SUM(D$12:D72),""),IF(AND(YEAR(A72)=2008,YEAR(A73)=2009),SUM(D$12:D72,D73*(U$8-A72)/(A73-A72)),"")))</f>
        <v/>
      </c>
      <c r="V71" s="67" t="str">
        <f>IF(A72="","",IF(A73="",IF(YEAR(A72)=2009,SUM(D$12:D72),""),IF(AND(YEAR(A72)=2009,YEAR(A73)=2010),SUM(D$12:D72,D73*(V$8-A72)/(A73-A72)),"")))</f>
        <v/>
      </c>
      <c r="W71" s="67" t="str">
        <f>IF(A72="","",IF(A73="",IF(YEAR(A72)=2010,SUM(D$12:D72),""),IF(AND(YEAR(A72)=2010,YEAR(A73)=2011),SUM(D$12:D72,D73*(W$8-A72)/(A73-A72)),"")))</f>
        <v/>
      </c>
      <c r="X71" s="67" t="str">
        <f>IF(A72="","",IF(A73="",IF(YEAR(A72)=2011,SUM(D$12:D72),""),IF(AND(YEAR(A72)=2011,YEAR(A73)=2012),SUM(D$12:D72,D73*(X$8-A72)/(A73-A72)),"")))</f>
        <v/>
      </c>
      <c r="Y71" s="72" t="str">
        <f>IF(A72="","",IF(A73="",IF(YEAR(A72)=2012,SUM(D$12:D72),""),IF(AND(YEAR(A72)=2012,YEAR(A73)=2013),SUM(D$12:D72,D73*(Y$8-A72)/(A73-A72)),"")))</f>
        <v/>
      </c>
      <c r="Z71" s="67" t="str">
        <f>IF($A72="","",IF($A73="",IF(YEAR($A72)=2002,SUM($J$12:$J72),""),IF(AND(YEAR($A72)=2002,YEAR($A73)=2003),SUM($J$12:$J72,$J73*(O$8-$A72)/($A73-$A72)),"")))</f>
        <v/>
      </c>
      <c r="AA71" s="67" t="str">
        <f>IF($A72="","",IF($A73="",IF(YEAR($A72)=2003,SUM($J$12:$J72),""),IF(AND(YEAR($A72)=2003,YEAR($A73)=2004),SUM($J$12:$J72,$J73*(P$8-$A72)/($A73-$A72)),"")))</f>
        <v/>
      </c>
      <c r="AB71" s="67" t="str">
        <f>IF($A72="","",IF($A73="",IF(YEAR($A72)=2004,SUM($J$12:$J72),""),IF(AND(YEAR($A72)=2004,YEAR($A73)=2005),SUM($J$12:$J72,$J73*(Q$8-$A72)/($A73-$A72)),"")))</f>
        <v/>
      </c>
      <c r="AC71" s="67" t="str">
        <f>IF($A72="","",IF($A73="",IF(YEAR($A72)=2005,SUM($J$12:$J72),""),IF(AND(YEAR($A72)=2005,YEAR($A73)=2006),SUM($J$12:$J72,$J73*(R$8-$A72)/($A73-$A72)),"")))</f>
        <v/>
      </c>
      <c r="AD71" s="67" t="str">
        <f>IF($A72="","",IF($A73="",IF(YEAR($A72)=2006,SUM($J$12:$J72),""),IF(AND(YEAR($A72)=2006,YEAR($A73)=2007),SUM($J$12:$J72,$J73*(S$8-$A72)/($A73-$A72)),"")))</f>
        <v/>
      </c>
      <c r="AE71" s="67" t="str">
        <f>IF($A72="","",IF($A73="",IF(YEAR($A72)=2007,SUM($J$12:$J72),""),IF(AND(YEAR($A72)=2007,YEAR($A73)=2008),SUM($J$12:$J72,$J73*(T$8-$A72)/($A73-$A72)),"")))</f>
        <v/>
      </c>
      <c r="AF71" s="67" t="str">
        <f>IF($A72="","",IF($A73="",IF(YEAR($A72)=2008,SUM($J$12:$J72),""),IF(AND(YEAR($A72)=2008,YEAR($A73)=2009),SUM($J$12:$J72,$J73*(U$8-$A72)/($A73-$A72)),"")))</f>
        <v/>
      </c>
      <c r="AG71" s="67" t="str">
        <f>IF($A72="","",IF($A73="",IF(YEAR($A72)=2009,SUM($J$12:$J72),""),IF(AND(YEAR($A72)=2009,YEAR($A73)=2010),SUM($J$12:$J72,$J73*(V$8-$A72)/($A73-$A72)),"")))</f>
        <v/>
      </c>
      <c r="AH71" s="67" t="str">
        <f>IF($A72="","",IF($A73="",IF(YEAR($A72)=2010,SUM($J$12:$J72),""),IF(AND(YEAR($A72)=2010,YEAR($A73)=2011),SUM($J$12:$J72,$J73*(W$8-$A72)/($A73-$A72)),"")))</f>
        <v/>
      </c>
      <c r="AI71" s="67" t="str">
        <f>IF($A72="","",IF($A73="",IF(YEAR($A72)=2011,SUM($J$12:$J72),""),IF(AND(YEAR($A72)=2011,YEAR($A73)=2012),SUM($J$12:$J72,$J73*(X$8-$A72)/($A73-$A72)),"")))</f>
        <v/>
      </c>
      <c r="AJ71" s="67" t="str">
        <f>IF($A72="","",IF($A73="",IF(YEAR($A72)=2012,SUM($J$12:$J72),""),IF(AND(YEAR($A72)=2012,YEAR($A73)=2013),SUM($J$12:$J72,$J73*(Y$8-$A72)/($A73-$A72)),"")))</f>
        <v/>
      </c>
    </row>
    <row r="72" spans="1:36" x14ac:dyDescent="0.2">
      <c r="A72" s="309" t="str">
        <f t="shared" si="0"/>
        <v/>
      </c>
      <c r="B72" s="168" t="str">
        <f>IF($E$5*$E$7&lt;60," ",60)</f>
        <v xml:space="preserve"> </v>
      </c>
      <c r="C72" s="201" t="str">
        <f>IF(AND(B70=" ",B71=" ",B72=" ")," ",IF(B71=" ",SUM(C$13:C70),IF(B72=" "," ",D72+E72)))</f>
        <v xml:space="preserve"> </v>
      </c>
      <c r="D72" s="201" t="str">
        <f>IF(AND(B70=" ",B71=" ",B72=" ")," ",IF(B71=" ",SUM(D$13:D70),IF(B72=" "," ",ROUND(F71*E$6/E$7,2))))</f>
        <v xml:space="preserve"> </v>
      </c>
      <c r="E72" s="201" t="str">
        <f>IF(AND(B70=" ",B71=" ",B72=" ")," ",IF(B71=" ",SUM(E$13:E70),IF(B72=" "," ",E$8)))</f>
        <v xml:space="preserve"> </v>
      </c>
      <c r="F72" s="201" t="str">
        <f>IF(AND(B70=" ",B71=" ",B72=" ")," ",IF(B71=" ",SUM(F$12:F69),IF(B72=" "," ",F71-E72)))</f>
        <v xml:space="preserve"> </v>
      </c>
      <c r="G72" s="201" t="str">
        <f>IF(AND(B70=" ",B71=" ",B72=" ")," ",IF(B71=" ",SUM(G$12:G70),IF(B73=" ",IF(E$5*E$7=B72,C72-C$7+C$8+G$10," "),C72)))</f>
        <v xml:space="preserve"> </v>
      </c>
      <c r="H72" s="204" t="str">
        <f>IF(AND(B70=" ",B71=" ",B72=" ")," ",IF(B71=" ",SUM(H$13:H70)*E$7,IF(B72=" "," ",IF(B73=" ",IF(E$5*E$7=B72,IRR(G$12:G72,0.01)," ")," "))))</f>
        <v xml:space="preserve"> </v>
      </c>
      <c r="I72" s="202" t="str">
        <f t="shared" si="1"/>
        <v/>
      </c>
      <c r="J72" s="202" t="str">
        <f t="shared" si="2"/>
        <v/>
      </c>
      <c r="K72" s="55"/>
      <c r="L72" s="56"/>
      <c r="O72" s="67"/>
      <c r="P72" s="67" t="str">
        <f>IF($A73="","",IF($A74="",IF(YEAR($A73)=2003,SUM($D$12:$D73),""),IF(AND(YEAR($A73)=2003,YEAR($A74)=2004),SUM($D$12:$D73,$D74*(P$8-$A73)/($A74-$A73)),"")))</f>
        <v/>
      </c>
      <c r="Q72" s="67" t="str">
        <f>IF(A73="","",IF(A74="",IF(YEAR(A73)=2004,SUM(D$12:D73),""),IF(AND(YEAR(A73)=2004,YEAR(A74)=2005),SUM(D$12:D73,D74*(Q$8-A73)/(A74-A73)),"")))</f>
        <v/>
      </c>
      <c r="R72" s="67" t="str">
        <f>IF(A73="","",IF(A74="",IF(YEAR(A73)=2005,SUM(D$12:D73),""),IF(AND(YEAR(A73)=2005,YEAR(A74)=2006),SUM(D$12:D73,D74*(R$8-A73)/(A74-A73)),"")))</f>
        <v/>
      </c>
      <c r="S72" s="67" t="str">
        <f>IF(A73="","",IF(A74="",IF(YEAR(A73)=2006,SUM(D$12:D73),""),IF(AND(YEAR(A73)=2006,YEAR(A74)=2007),SUM(D$12:D73,D74*(S$8-A73)/(A74-A73)),"")))</f>
        <v/>
      </c>
      <c r="T72" s="67" t="str">
        <f>IF(A73="","",IF(A74="",IF(YEAR(A73)=2007,SUM(D$12:D73),""),IF(AND(YEAR(A73)=2007,YEAR(A74)=2008),SUM(D$12:D73,D74*(T$8-A73)/(A74-A73)),"")))</f>
        <v/>
      </c>
      <c r="U72" s="67" t="str">
        <f>IF(A73="","",IF(A74="",IF(YEAR(A73)=2008,SUM(D$12:D73),""),IF(AND(YEAR(A73)=2008,YEAR(A74)=2009),SUM(D$12:D73,D74*(U$8-A73)/(A74-A73)),"")))</f>
        <v/>
      </c>
      <c r="V72" s="67" t="str">
        <f>IF(A73="","",IF(A74="",IF(YEAR(A73)=2009,SUM(D$12:D73),""),IF(AND(YEAR(A73)=2009,YEAR(A74)=2010),SUM(D$12:D73,D74*(V$8-A73)/(A74-A73)),"")))</f>
        <v/>
      </c>
      <c r="W72" s="67" t="str">
        <f>IF(A73="","",IF(A74="",IF(YEAR(A73)=2010,SUM(D$12:D73),""),IF(AND(YEAR(A73)=2010,YEAR(A74)=2011),SUM(D$12:D73,D74*(W$8-A73)/(A74-A73)),"")))</f>
        <v/>
      </c>
      <c r="X72" s="67" t="str">
        <f>IF(A73="","",IF(A74="",IF(YEAR(A73)=2011,SUM(D$12:D73),""),IF(AND(YEAR(A73)=2011,YEAR(A74)=2012),SUM(D$12:D73,D74*(X$8-A73)/(A74-A73)),"")))</f>
        <v/>
      </c>
      <c r="Y72" s="72" t="str">
        <f>IF(A73="","",IF(A74="",IF(YEAR(A73)=2012,SUM(D$12:D73),""),IF(AND(YEAR(A73)=2012,YEAR(A74)=2013),SUM(D$12:D73,D74*(Y$8-A73)/(A74-A73)),"")))</f>
        <v/>
      </c>
      <c r="Z72" s="67" t="str">
        <f>IF($A73="","",IF($A74="",IF(YEAR($A73)=2002,SUM($J$12:$J73),""),IF(AND(YEAR($A73)=2002,YEAR($A74)=2003),SUM($J$12:$J73,$J74*(O$8-$A73)/($A74-$A73)),"")))</f>
        <v/>
      </c>
      <c r="AA72" s="67" t="str">
        <f>IF($A73="","",IF($A74="",IF(YEAR($A73)=2003,SUM($J$12:$J73),""),IF(AND(YEAR($A73)=2003,YEAR($A74)=2004),SUM($J$12:$J73,$J74*(P$8-$A73)/($A74-$A73)),"")))</f>
        <v/>
      </c>
      <c r="AB72" s="67" t="str">
        <f>IF($A73="","",IF($A74="",IF(YEAR($A73)=2004,SUM($J$12:$J73),""),IF(AND(YEAR($A73)=2004,YEAR($A74)=2005),SUM($J$12:$J73,$J74*(Q$8-$A73)/($A74-$A73)),"")))</f>
        <v/>
      </c>
      <c r="AC72" s="67" t="str">
        <f>IF($A73="","",IF($A74="",IF(YEAR($A73)=2005,SUM($J$12:$J73),""),IF(AND(YEAR($A73)=2005,YEAR($A74)=2006),SUM($J$12:$J73,$J74*(R$8-$A73)/($A74-$A73)),"")))</f>
        <v/>
      </c>
      <c r="AD72" s="67" t="str">
        <f>IF($A73="","",IF($A74="",IF(YEAR($A73)=2006,SUM($J$12:$J73),""),IF(AND(YEAR($A73)=2006,YEAR($A74)=2007),SUM($J$12:$J73,$J74*(S$8-$A73)/($A74-$A73)),"")))</f>
        <v/>
      </c>
      <c r="AE72" s="67" t="str">
        <f>IF($A73="","",IF($A74="",IF(YEAR($A73)=2007,SUM($J$12:$J73),""),IF(AND(YEAR($A73)=2007,YEAR($A74)=2008),SUM($J$12:$J73,$J74*(T$8-$A73)/($A74-$A73)),"")))</f>
        <v/>
      </c>
      <c r="AF72" s="67" t="str">
        <f>IF($A73="","",IF($A74="",IF(YEAR($A73)=2008,SUM($J$12:$J73),""),IF(AND(YEAR($A73)=2008,YEAR($A74)=2009),SUM($J$12:$J73,$J74*(U$8-$A73)/($A74-$A73)),"")))</f>
        <v/>
      </c>
      <c r="AG72" s="67" t="str">
        <f>IF($A73="","",IF($A74="",IF(YEAR($A73)=2009,SUM($J$12:$J73),""),IF(AND(YEAR($A73)=2009,YEAR($A74)=2010),SUM($J$12:$J73,$J74*(V$8-$A73)/($A74-$A73)),"")))</f>
        <v/>
      </c>
      <c r="AH72" s="67" t="str">
        <f>IF($A73="","",IF($A74="",IF(YEAR($A73)=2010,SUM($J$12:$J73),""),IF(AND(YEAR($A73)=2010,YEAR($A74)=2011),SUM($J$12:$J73,$J74*(W$8-$A73)/($A74-$A73)),"")))</f>
        <v/>
      </c>
      <c r="AI72" s="67" t="str">
        <f>IF($A73="","",IF($A74="",IF(YEAR($A73)=2011,SUM($J$12:$J73),""),IF(AND(YEAR($A73)=2011,YEAR($A74)=2012),SUM($J$12:$J73,$J74*(X$8-$A73)/($A74-$A73)),"")))</f>
        <v/>
      </c>
      <c r="AJ72" s="67" t="str">
        <f>IF($A73="","",IF($A74="",IF(YEAR($A73)=2012,SUM($J$12:$J73),""),IF(AND(YEAR($A73)=2012,YEAR($A74)=2013),SUM($J$12:$J73,$J74*(Y$8-$A73)/($A74-$A73)),"")))</f>
        <v/>
      </c>
    </row>
    <row r="73" spans="1:36" x14ac:dyDescent="0.2">
      <c r="A73" s="309" t="str">
        <f t="shared" si="0"/>
        <v/>
      </c>
      <c r="B73" s="168" t="str">
        <f>IF($E$5*$E$7&lt;61," ",61)</f>
        <v xml:space="preserve"> </v>
      </c>
      <c r="C73" s="201" t="str">
        <f>IF(AND(B71=" ",B72=" ",B73=" ")," ",IF(B72=" ",SUM(C$13:C71),IF(B73=" "," ",D73+E73)))</f>
        <v xml:space="preserve"> </v>
      </c>
      <c r="D73" s="201" t="str">
        <f>IF(AND(B71=" ",B72=" ",B73=" ")," ",IF(B72=" ",SUM(D$13:D71),IF(B73=" "," ",ROUND(F72*E$6/E$7,2))))</f>
        <v xml:space="preserve"> </v>
      </c>
      <c r="E73" s="201" t="str">
        <f>IF(AND(B71=" ",B72=" ",B73=" ")," ",IF(B72=" ",SUM(E$13:E71),IF(B73=" "," ",E$8)))</f>
        <v xml:space="preserve"> </v>
      </c>
      <c r="F73" s="201" t="str">
        <f>IF(AND(B71=" ",B72=" ",B73=" ")," ",IF(B72=" ",SUM(F$12:F70),IF(B73=" "," ",F72-E73)))</f>
        <v xml:space="preserve"> </v>
      </c>
      <c r="G73" s="201" t="str">
        <f>IF(AND(B71=" ",B72=" ",B73=" ")," ",IF(B72=" ",SUM(G$12:G71),IF(B74=" ",IF(E$5*E$7=B73,C73-C$7+C$8+G$10," "),C73)))</f>
        <v xml:space="preserve"> </v>
      </c>
      <c r="H73" s="204" t="str">
        <f>IF(AND(B71=" ",B72=" ",B73=" ")," ",IF(B72=" ",SUM(H$13:H71)*E$7,IF(B73=" "," ",IF(B74=" ",IF(E$5*E$7=B73,IRR(G$12:G73,0.01)," ")," "))))</f>
        <v xml:space="preserve"> </v>
      </c>
      <c r="I73" s="202" t="str">
        <f t="shared" si="1"/>
        <v/>
      </c>
      <c r="J73" s="202" t="str">
        <f t="shared" si="2"/>
        <v/>
      </c>
      <c r="K73" s="55"/>
      <c r="L73" s="56"/>
      <c r="O73" s="67"/>
      <c r="P73" s="67" t="str">
        <f>IF($A74="","",IF($A75="",IF(YEAR($A74)=2003,SUM($D$12:$D74),""),IF(AND(YEAR($A74)=2003,YEAR($A75)=2004),SUM($D$12:$D74,$D75*(P$8-$A74)/($A75-$A74)),"")))</f>
        <v/>
      </c>
      <c r="Q73" s="67" t="str">
        <f>IF(A74="","",IF(A75="",IF(YEAR(A74)=2004,SUM(D$12:D74),""),IF(AND(YEAR(A74)=2004,YEAR(A75)=2005),SUM(D$12:D74,D75*(Q$8-A74)/(A75-A74)),"")))</f>
        <v/>
      </c>
      <c r="R73" s="67" t="str">
        <f>IF(A74="","",IF(A75="",IF(YEAR(A74)=2005,SUM(D$12:D74),""),IF(AND(YEAR(A74)=2005,YEAR(A75)=2006),SUM(D$12:D74,D75*(R$8-A74)/(A75-A74)),"")))</f>
        <v/>
      </c>
      <c r="S73" s="67" t="str">
        <f>IF(A74="","",IF(A75="",IF(YEAR(A74)=2006,SUM(D$12:D74),""),IF(AND(YEAR(A74)=2006,YEAR(A75)=2007),SUM(D$12:D74,D75*(S$8-A74)/(A75-A74)),"")))</f>
        <v/>
      </c>
      <c r="T73" s="67" t="str">
        <f>IF(A74="","",IF(A75="",IF(YEAR(A74)=2007,SUM(D$12:D74),""),IF(AND(YEAR(A74)=2007,YEAR(A75)=2008),SUM(D$12:D74,D75*(T$8-A74)/(A75-A74)),"")))</f>
        <v/>
      </c>
      <c r="U73" s="67" t="str">
        <f>IF(A74="","",IF(A75="",IF(YEAR(A74)=2008,SUM(D$12:D74),""),IF(AND(YEAR(A74)=2008,YEAR(A75)=2009),SUM(D$12:D74,D75*(U$8-A74)/(A75-A74)),"")))</f>
        <v/>
      </c>
      <c r="V73" s="67" t="str">
        <f>IF(A74="","",IF(A75="",IF(YEAR(A74)=2009,SUM(D$12:D74),""),IF(AND(YEAR(A74)=2009,YEAR(A75)=2010),SUM(D$12:D74,D75*(V$8-A74)/(A75-A74)),"")))</f>
        <v/>
      </c>
      <c r="W73" s="67" t="str">
        <f>IF(A74="","",IF(A75="",IF(YEAR(A74)=2010,SUM(D$12:D74),""),IF(AND(YEAR(A74)=2010,YEAR(A75)=2011),SUM(D$12:D74,D75*(W$8-A74)/(A75-A74)),"")))</f>
        <v/>
      </c>
      <c r="X73" s="67" t="str">
        <f>IF(A74="","",IF(A75="",IF(YEAR(A74)=2011,SUM(D$12:D74),""),IF(AND(YEAR(A74)=2011,YEAR(A75)=2012),SUM(D$12:D74,D75*(X$8-A74)/(A75-A74)),"")))</f>
        <v/>
      </c>
      <c r="Y73" s="72" t="str">
        <f>IF(A74="","",IF(A75="",IF(YEAR(A74)=2012,SUM(D$12:D74),""),IF(AND(YEAR(A74)=2012,YEAR(A75)=2013),SUM(D$12:D74,D75*(Y$8-A74)/(A75-A74)),"")))</f>
        <v/>
      </c>
      <c r="Z73" s="67" t="str">
        <f>IF($A74="","",IF($A75="",IF(YEAR($A74)=2002,SUM($J$12:$J74),""),IF(AND(YEAR($A74)=2002,YEAR($A75)=2003),SUM($J$12:$J74,$J75*(O$8-$A74)/($A75-$A74)),"")))</f>
        <v/>
      </c>
      <c r="AA73" s="67" t="str">
        <f>IF($A74="","",IF($A75="",IF(YEAR($A74)=2003,SUM($J$12:$J74),""),IF(AND(YEAR($A74)=2003,YEAR($A75)=2004),SUM($J$12:$J74,$J75*(P$8-$A74)/($A75-$A74)),"")))</f>
        <v/>
      </c>
      <c r="AB73" s="67" t="str">
        <f>IF($A74="","",IF($A75="",IF(YEAR($A74)=2004,SUM($J$12:$J74),""),IF(AND(YEAR($A74)=2004,YEAR($A75)=2005),SUM($J$12:$J74,$J75*(Q$8-$A74)/($A75-$A74)),"")))</f>
        <v/>
      </c>
      <c r="AC73" s="67" t="str">
        <f>IF($A74="","",IF($A75="",IF(YEAR($A74)=2005,SUM($J$12:$J74),""),IF(AND(YEAR($A74)=2005,YEAR($A75)=2006),SUM($J$12:$J74,$J75*(R$8-$A74)/($A75-$A74)),"")))</f>
        <v/>
      </c>
      <c r="AD73" s="67" t="str">
        <f>IF($A74="","",IF($A75="",IF(YEAR($A74)=2006,SUM($J$12:$J74),""),IF(AND(YEAR($A74)=2006,YEAR($A75)=2007),SUM($J$12:$J74,$J75*(S$8-$A74)/($A75-$A74)),"")))</f>
        <v/>
      </c>
      <c r="AE73" s="67" t="str">
        <f>IF($A74="","",IF($A75="",IF(YEAR($A74)=2007,SUM($J$12:$J74),""),IF(AND(YEAR($A74)=2007,YEAR($A75)=2008),SUM($J$12:$J74,$J75*(T$8-$A74)/($A75-$A74)),"")))</f>
        <v/>
      </c>
      <c r="AF73" s="67" t="str">
        <f>IF($A74="","",IF($A75="",IF(YEAR($A74)=2008,SUM($J$12:$J74),""),IF(AND(YEAR($A74)=2008,YEAR($A75)=2009),SUM($J$12:$J74,$J75*(U$8-$A74)/($A75-$A74)),"")))</f>
        <v/>
      </c>
      <c r="AG73" s="67" t="str">
        <f>IF($A74="","",IF($A75="",IF(YEAR($A74)=2009,SUM($J$12:$J74),""),IF(AND(YEAR($A74)=2009,YEAR($A75)=2010),SUM($J$12:$J74,$J75*(V$8-$A74)/($A75-$A74)),"")))</f>
        <v/>
      </c>
      <c r="AH73" s="67" t="str">
        <f>IF($A74="","",IF($A75="",IF(YEAR($A74)=2010,SUM($J$12:$J74),""),IF(AND(YEAR($A74)=2010,YEAR($A75)=2011),SUM($J$12:$J74,$J75*(W$8-$A74)/($A75-$A74)),"")))</f>
        <v/>
      </c>
      <c r="AI73" s="67" t="str">
        <f>IF($A74="","",IF($A75="",IF(YEAR($A74)=2011,SUM($J$12:$J74),""),IF(AND(YEAR($A74)=2011,YEAR($A75)=2012),SUM($J$12:$J74,$J75*(X$8-$A74)/($A75-$A74)),"")))</f>
        <v/>
      </c>
      <c r="AJ73" s="67" t="str">
        <f>IF($A74="","",IF($A75="",IF(YEAR($A74)=2012,SUM($J$12:$J74),""),IF(AND(YEAR($A74)=2012,YEAR($A75)=2013),SUM($J$12:$J74,$J75*(Y$8-$A74)/($A75-$A74)),"")))</f>
        <v/>
      </c>
    </row>
    <row r="74" spans="1:36" x14ac:dyDescent="0.2">
      <c r="A74" s="309" t="str">
        <f t="shared" si="0"/>
        <v/>
      </c>
      <c r="B74" s="168" t="str">
        <f>IF($E$5*$E$7&lt;62," ",62)</f>
        <v xml:space="preserve"> </v>
      </c>
      <c r="C74" s="201" t="str">
        <f>IF(AND(B72=" ",B73=" ",B74=" ")," ",IF(B73=" ",SUM(C$13:C72),IF(B74=" "," ",D74+E74)))</f>
        <v xml:space="preserve"> </v>
      </c>
      <c r="D74" s="201" t="str">
        <f>IF(AND(B72=" ",B73=" ",B74=" ")," ",IF(B73=" ",SUM(D$13:D72),IF(B74=" "," ",ROUND(F73*E$6/E$7,2))))</f>
        <v xml:space="preserve"> </v>
      </c>
      <c r="E74" s="201" t="str">
        <f>IF(AND(B72=" ",B73=" ",B74=" ")," ",IF(B73=" ",SUM(E$13:E72),IF(B74=" "," ",E$8)))</f>
        <v xml:space="preserve"> </v>
      </c>
      <c r="F74" s="201" t="str">
        <f>IF(AND(B72=" ",B73=" ",B74=" ")," ",IF(B73=" ",SUM(F$12:F71),IF(B74=" "," ",F73-E74)))</f>
        <v xml:space="preserve"> </v>
      </c>
      <c r="G74" s="201" t="str">
        <f>IF(AND(B72=" ",B73=" ",B74=" ")," ",IF(B73=" ",SUM(G$12:G72),IF(B75=" ",IF(E$5*E$7=B74,C74-C$7+C$8+G$10," "),C74)))</f>
        <v xml:space="preserve"> </v>
      </c>
      <c r="H74" s="204" t="str">
        <f>IF(AND(B72=" ",B73=" ",B74=" ")," ",IF(B73=" ",SUM(H$13:H72)*E$7,IF(B74=" "," ",IF(B75=" ",IF(E$5*E$7=B74,IRR(G$12:G74,0.01)," ")," "))))</f>
        <v xml:space="preserve"> </v>
      </c>
      <c r="I74" s="202" t="str">
        <f t="shared" si="1"/>
        <v/>
      </c>
      <c r="J74" s="202" t="str">
        <f t="shared" si="2"/>
        <v/>
      </c>
      <c r="K74" s="55"/>
      <c r="L74" s="56"/>
      <c r="O74" s="67"/>
      <c r="P74" s="67" t="str">
        <f>IF($A75="","",IF($A76="",IF(YEAR($A75)=2003,SUM($D$12:$D75),""),IF(AND(YEAR($A75)=2003,YEAR($A76)=2004),SUM($D$12:$D75,$D76*(P$8-$A75)/($A76-$A75)),"")))</f>
        <v/>
      </c>
      <c r="Q74" s="67" t="str">
        <f>IF(A75="","",IF(A76="",IF(YEAR(A75)=2004,SUM(D$12:D75),""),IF(AND(YEAR(A75)=2004,YEAR(A76)=2005),SUM(D$12:D75,D76*(Q$8-A75)/(A76-A75)),"")))</f>
        <v/>
      </c>
      <c r="R74" s="67" t="str">
        <f>IF(A75="","",IF(A76="",IF(YEAR(A75)=2005,SUM(D$12:D75),""),IF(AND(YEAR(A75)=2005,YEAR(A76)=2006),SUM(D$12:D75,D76*(R$8-A75)/(A76-A75)),"")))</f>
        <v/>
      </c>
      <c r="S74" s="67" t="str">
        <f>IF(A75="","",IF(A76="",IF(YEAR(A75)=2006,SUM(D$12:D75),""),IF(AND(YEAR(A75)=2006,YEAR(A76)=2007),SUM(D$12:D75,D76*(S$8-A75)/(A76-A75)),"")))</f>
        <v/>
      </c>
      <c r="T74" s="67" t="str">
        <f>IF(A75="","",IF(A76="",IF(YEAR(A75)=2007,SUM(D$12:D75),""),IF(AND(YEAR(A75)=2007,YEAR(A76)=2008),SUM(D$12:D75,D76*(T$8-A75)/(A76-A75)),"")))</f>
        <v/>
      </c>
      <c r="U74" s="67" t="str">
        <f>IF(A75="","",IF(A76="",IF(YEAR(A75)=2008,SUM(D$12:D75),""),IF(AND(YEAR(A75)=2008,YEAR(A76)=2009),SUM(D$12:D75,D76*(U$8-A75)/(A76-A75)),"")))</f>
        <v/>
      </c>
      <c r="V74" s="67" t="str">
        <f>IF(A75="","",IF(A76="",IF(YEAR(A75)=2009,SUM(D$12:D75),""),IF(AND(YEAR(A75)=2009,YEAR(A76)=2010),SUM(D$12:D75,D76*(V$8-A75)/(A76-A75)),"")))</f>
        <v/>
      </c>
      <c r="W74" s="67" t="str">
        <f>IF(A75="","",IF(A76="",IF(YEAR(A75)=2010,SUM(D$12:D75),""),IF(AND(YEAR(A75)=2010,YEAR(A76)=2011),SUM(D$12:D75,D76*(W$8-A75)/(A76-A75)),"")))</f>
        <v/>
      </c>
      <c r="X74" s="67" t="str">
        <f>IF(A75="","",IF(A76="",IF(YEAR(A75)=2011,SUM(D$12:D75),""),IF(AND(YEAR(A75)=2011,YEAR(A76)=2012),SUM(D$12:D75,D76*(X$8-A75)/(A76-A75)),"")))</f>
        <v/>
      </c>
      <c r="Y74" s="72" t="str">
        <f>IF(A75="","",IF(A76="",IF(YEAR(A75)=2012,SUM(D$12:D75),""),IF(AND(YEAR(A75)=2012,YEAR(A76)=2013),SUM(D$12:D75,D76*(Y$8-A75)/(A76-A75)),"")))</f>
        <v/>
      </c>
      <c r="Z74" s="67" t="str">
        <f>IF($A75="","",IF($A76="",IF(YEAR($A75)=2002,SUM($J$12:$J75),""),IF(AND(YEAR($A75)=2002,YEAR($A76)=2003),SUM($J$12:$J75,$J76*(O$8-$A75)/($A76-$A75)),"")))</f>
        <v/>
      </c>
      <c r="AA74" s="67" t="str">
        <f>IF($A75="","",IF($A76="",IF(YEAR($A75)=2003,SUM($J$12:$J75),""),IF(AND(YEAR($A75)=2003,YEAR($A76)=2004),SUM($J$12:$J75,$J76*(P$8-$A75)/($A76-$A75)),"")))</f>
        <v/>
      </c>
      <c r="AB74" s="67" t="str">
        <f>IF($A75="","",IF($A76="",IF(YEAR($A75)=2004,SUM($J$12:$J75),""),IF(AND(YEAR($A75)=2004,YEAR($A76)=2005),SUM($J$12:$J75,$J76*(Q$8-$A75)/($A76-$A75)),"")))</f>
        <v/>
      </c>
      <c r="AC74" s="67" t="str">
        <f>IF($A75="","",IF($A76="",IF(YEAR($A75)=2005,SUM($J$12:$J75),""),IF(AND(YEAR($A75)=2005,YEAR($A76)=2006),SUM($J$12:$J75,$J76*(R$8-$A75)/($A76-$A75)),"")))</f>
        <v/>
      </c>
      <c r="AD74" s="67" t="str">
        <f>IF($A75="","",IF($A76="",IF(YEAR($A75)=2006,SUM($J$12:$J75),""),IF(AND(YEAR($A75)=2006,YEAR($A76)=2007),SUM($J$12:$J75,$J76*(S$8-$A75)/($A76-$A75)),"")))</f>
        <v/>
      </c>
      <c r="AE74" s="67" t="str">
        <f>IF($A75="","",IF($A76="",IF(YEAR($A75)=2007,SUM($J$12:$J75),""),IF(AND(YEAR($A75)=2007,YEAR($A76)=2008),SUM($J$12:$J75,$J76*(T$8-$A75)/($A76-$A75)),"")))</f>
        <v/>
      </c>
      <c r="AF74" s="67" t="str">
        <f>IF($A75="","",IF($A76="",IF(YEAR($A75)=2008,SUM($J$12:$J75),""),IF(AND(YEAR($A75)=2008,YEAR($A76)=2009),SUM($J$12:$J75,$J76*(U$8-$A75)/($A76-$A75)),"")))</f>
        <v/>
      </c>
      <c r="AG74" s="67" t="str">
        <f>IF($A75="","",IF($A76="",IF(YEAR($A75)=2009,SUM($J$12:$J75),""),IF(AND(YEAR($A75)=2009,YEAR($A76)=2010),SUM($J$12:$J75,$J76*(V$8-$A75)/($A76-$A75)),"")))</f>
        <v/>
      </c>
      <c r="AH74" s="67" t="str">
        <f>IF($A75="","",IF($A76="",IF(YEAR($A75)=2010,SUM($J$12:$J75),""),IF(AND(YEAR($A75)=2010,YEAR($A76)=2011),SUM($J$12:$J75,$J76*(W$8-$A75)/($A76-$A75)),"")))</f>
        <v/>
      </c>
      <c r="AI74" s="67" t="str">
        <f>IF($A75="","",IF($A76="",IF(YEAR($A75)=2011,SUM($J$12:$J75),""),IF(AND(YEAR($A75)=2011,YEAR($A76)=2012),SUM($J$12:$J75,$J76*(X$8-$A75)/($A76-$A75)),"")))</f>
        <v/>
      </c>
      <c r="AJ74" s="67" t="str">
        <f>IF($A75="","",IF($A76="",IF(YEAR($A75)=2012,SUM($J$12:$J75),""),IF(AND(YEAR($A75)=2012,YEAR($A76)=2013),SUM($J$12:$J75,$J76*(Y$8-$A75)/($A76-$A75)),"")))</f>
        <v/>
      </c>
    </row>
    <row r="75" spans="1:36" x14ac:dyDescent="0.2">
      <c r="A75" s="309" t="str">
        <f t="shared" si="0"/>
        <v/>
      </c>
      <c r="B75" s="168" t="str">
        <f>IF($E$5*$E$7&lt;63," ",63)</f>
        <v xml:space="preserve"> </v>
      </c>
      <c r="C75" s="201" t="str">
        <f>IF(AND(B73=" ",B74=" ",B75=" ")," ",IF(B74=" ",SUM(C$13:C73),IF(B75=" "," ",D75+E75)))</f>
        <v xml:space="preserve"> </v>
      </c>
      <c r="D75" s="201" t="str">
        <f>IF(AND(B73=" ",B74=" ",B75=" ")," ",IF(B74=" ",SUM(D$13:D73),IF(B75=" "," ",ROUND(F74*E$6/E$7,2))))</f>
        <v xml:space="preserve"> </v>
      </c>
      <c r="E75" s="201" t="str">
        <f>IF(AND(B73=" ",B74=" ",B75=" ")," ",IF(B74=" ",SUM(E$13:E73),IF(B75=" "," ",E$8)))</f>
        <v xml:space="preserve"> </v>
      </c>
      <c r="F75" s="201" t="str">
        <f>IF(AND(B73=" ",B74=" ",B75=" ")," ",IF(B74=" ",SUM(F$12:F72),IF(B75=" "," ",F74-E75)))</f>
        <v xml:space="preserve"> </v>
      </c>
      <c r="G75" s="201" t="str">
        <f>IF(AND(B73=" ",B74=" ",B75=" ")," ",IF(B74=" ",SUM(G$12:G73),IF(B76=" ",IF(E$5*E$7=B75,C75-C$7+C$8+G$10," "),C75)))</f>
        <v xml:space="preserve"> </v>
      </c>
      <c r="H75" s="204" t="str">
        <f>IF(AND(B73=" ",B74=" ",B75=" ")," ",IF(B74=" ",SUM(H$13:H73)*E$7,IF(B75=" "," ",IF(B76=" ",IF(E$5*E$7=B75,IRR(G$12:G75,0.01)," ")," "))))</f>
        <v xml:space="preserve"> </v>
      </c>
      <c r="I75" s="202" t="str">
        <f t="shared" si="1"/>
        <v/>
      </c>
      <c r="J75" s="202" t="str">
        <f t="shared" si="2"/>
        <v/>
      </c>
      <c r="K75" s="55"/>
      <c r="L75" s="56"/>
      <c r="O75" s="67"/>
      <c r="P75" s="67" t="str">
        <f>IF($A76="","",IF($A77="",IF(YEAR($A76)=2003,SUM($D$12:$D76),""),IF(AND(YEAR($A76)=2003,YEAR($A77)=2004),SUM($D$12:$D76,$D77*(P$8-$A76)/($A77-$A76)),"")))</f>
        <v/>
      </c>
      <c r="Q75" s="67" t="str">
        <f>IF(A76="","",IF(A77="",IF(YEAR(A76)=2004,SUM(D$12:D76),""),IF(AND(YEAR(A76)=2004,YEAR(A77)=2005),SUM(D$12:D76,D77*(Q$8-A76)/(A77-A76)),"")))</f>
        <v/>
      </c>
      <c r="R75" s="67" t="str">
        <f>IF(A76="","",IF(A77="",IF(YEAR(A76)=2005,SUM(D$12:D76),""),IF(AND(YEAR(A76)=2005,YEAR(A77)=2006),SUM(D$12:D76,D77*(R$8-A76)/(A77-A76)),"")))</f>
        <v/>
      </c>
      <c r="S75" s="67" t="str">
        <f>IF(A76="","",IF(A77="",IF(YEAR(A76)=2006,SUM(D$12:D76),""),IF(AND(YEAR(A76)=2006,YEAR(A77)=2007),SUM(D$12:D76,D77*(S$8-A76)/(A77-A76)),"")))</f>
        <v/>
      </c>
      <c r="T75" s="67" t="str">
        <f>IF(A76="","",IF(A77="",IF(YEAR(A76)=2007,SUM(D$12:D76),""),IF(AND(YEAR(A76)=2007,YEAR(A77)=2008),SUM(D$12:D76,D77*(T$8-A76)/(A77-A76)),"")))</f>
        <v/>
      </c>
      <c r="U75" s="67" t="str">
        <f>IF(A76="","",IF(A77="",IF(YEAR(A76)=2008,SUM(D$12:D76),""),IF(AND(YEAR(A76)=2008,YEAR(A77)=2009),SUM(D$12:D76,D77*(U$8-A76)/(A77-A76)),"")))</f>
        <v/>
      </c>
      <c r="V75" s="67" t="str">
        <f>IF(A76="","",IF(A77="",IF(YEAR(A76)=2009,SUM(D$12:D76),""),IF(AND(YEAR(A76)=2009,YEAR(A77)=2010),SUM(D$12:D76,D77*(V$8-A76)/(A77-A76)),"")))</f>
        <v/>
      </c>
      <c r="W75" s="67" t="str">
        <f>IF(A76="","",IF(A77="",IF(YEAR(A76)=2010,SUM(D$12:D76),""),IF(AND(YEAR(A76)=2010,YEAR(A77)=2011),SUM(D$12:D76,D77*(W$8-A76)/(A77-A76)),"")))</f>
        <v/>
      </c>
      <c r="X75" s="67" t="str">
        <f>IF(A76="","",IF(A77="",IF(YEAR(A76)=2011,SUM(D$12:D76),""),IF(AND(YEAR(A76)=2011,YEAR(A77)=2012),SUM(D$12:D76,D77*(X$8-A76)/(A77-A76)),"")))</f>
        <v/>
      </c>
      <c r="Y75" s="72" t="str">
        <f>IF(A76="","",IF(A77="",IF(YEAR(A76)=2012,SUM(D$12:D76),""),IF(AND(YEAR(A76)=2012,YEAR(A77)=2013),SUM(D$12:D76,D77*(Y$8-A76)/(A77-A76)),"")))</f>
        <v/>
      </c>
      <c r="Z75" s="67" t="str">
        <f>IF($A76="","",IF($A77="",IF(YEAR($A76)=2002,SUM($J$12:$J76),""),IF(AND(YEAR($A76)=2002,YEAR($A77)=2003),SUM($J$12:$J76,$J77*(O$8-$A76)/($A77-$A76)),"")))</f>
        <v/>
      </c>
      <c r="AA75" s="67" t="str">
        <f>IF($A76="","",IF($A77="",IF(YEAR($A76)=2003,SUM($J$12:$J76),""),IF(AND(YEAR($A76)=2003,YEAR($A77)=2004),SUM($J$12:$J76,$J77*(P$8-$A76)/($A77-$A76)),"")))</f>
        <v/>
      </c>
      <c r="AB75" s="67" t="str">
        <f>IF($A76="","",IF($A77="",IF(YEAR($A76)=2004,SUM($J$12:$J76),""),IF(AND(YEAR($A76)=2004,YEAR($A77)=2005),SUM($J$12:$J76,$J77*(Q$8-$A76)/($A77-$A76)),"")))</f>
        <v/>
      </c>
      <c r="AC75" s="67" t="str">
        <f>IF($A76="","",IF($A77="",IF(YEAR($A76)=2005,SUM($J$12:$J76),""),IF(AND(YEAR($A76)=2005,YEAR($A77)=2006),SUM($J$12:$J76,$J77*(R$8-$A76)/($A77-$A76)),"")))</f>
        <v/>
      </c>
      <c r="AD75" s="67" t="str">
        <f>IF($A76="","",IF($A77="",IF(YEAR($A76)=2006,SUM($J$12:$J76),""),IF(AND(YEAR($A76)=2006,YEAR($A77)=2007),SUM($J$12:$J76,$J77*(S$8-$A76)/($A77-$A76)),"")))</f>
        <v/>
      </c>
      <c r="AE75" s="67" t="str">
        <f>IF($A76="","",IF($A77="",IF(YEAR($A76)=2007,SUM($J$12:$J76),""),IF(AND(YEAR($A76)=2007,YEAR($A77)=2008),SUM($J$12:$J76,$J77*(T$8-$A76)/($A77-$A76)),"")))</f>
        <v/>
      </c>
      <c r="AF75" s="67" t="str">
        <f>IF($A76="","",IF($A77="",IF(YEAR($A76)=2008,SUM($J$12:$J76),""),IF(AND(YEAR($A76)=2008,YEAR($A77)=2009),SUM($J$12:$J76,$J77*(U$8-$A76)/($A77-$A76)),"")))</f>
        <v/>
      </c>
      <c r="AG75" s="67" t="str">
        <f>IF($A76="","",IF($A77="",IF(YEAR($A76)=2009,SUM($J$12:$J76),""),IF(AND(YEAR($A76)=2009,YEAR($A77)=2010),SUM($J$12:$J76,$J77*(V$8-$A76)/($A77-$A76)),"")))</f>
        <v/>
      </c>
      <c r="AH75" s="67" t="str">
        <f>IF($A76="","",IF($A77="",IF(YEAR($A76)=2010,SUM($J$12:$J76),""),IF(AND(YEAR($A76)=2010,YEAR($A77)=2011),SUM($J$12:$J76,$J77*(W$8-$A76)/($A77-$A76)),"")))</f>
        <v/>
      </c>
      <c r="AI75" s="67" t="str">
        <f>IF($A76="","",IF($A77="",IF(YEAR($A76)=2011,SUM($J$12:$J76),""),IF(AND(YEAR($A76)=2011,YEAR($A77)=2012),SUM($J$12:$J76,$J77*(X$8-$A76)/($A77-$A76)),"")))</f>
        <v/>
      </c>
      <c r="AJ75" s="67" t="str">
        <f>IF($A76="","",IF($A77="",IF(YEAR($A76)=2012,SUM($J$12:$J76),""),IF(AND(YEAR($A76)=2012,YEAR($A77)=2013),SUM($J$12:$J76,$J77*(Y$8-$A76)/($A77-$A76)),"")))</f>
        <v/>
      </c>
    </row>
    <row r="76" spans="1:36" x14ac:dyDescent="0.2">
      <c r="A76" s="309" t="str">
        <f t="shared" si="0"/>
        <v/>
      </c>
      <c r="B76" s="168" t="str">
        <f>IF($E$5*$E$7&lt;64," ",64)</f>
        <v xml:space="preserve"> </v>
      </c>
      <c r="C76" s="201" t="str">
        <f>IF(AND(B74=" ",B75=" ",B76=" ")," ",IF(B75=" ",SUM(C$13:C74),IF(B76=" "," ",D76+E76)))</f>
        <v xml:space="preserve"> </v>
      </c>
      <c r="D76" s="201" t="str">
        <f>IF(AND(B74=" ",B75=" ",B76=" ")," ",IF(B75=" ",SUM(D$13:D74),IF(B76=" "," ",ROUND(F75*E$6/E$7,2))))</f>
        <v xml:space="preserve"> </v>
      </c>
      <c r="E76" s="201" t="str">
        <f>IF(AND(B74=" ",B75=" ",B76=" ")," ",IF(B75=" ",SUM(E$13:E74),IF(B76=" "," ",E$8)))</f>
        <v xml:space="preserve"> </v>
      </c>
      <c r="F76" s="201" t="str">
        <f>IF(AND(B74=" ",B75=" ",B76=" ")," ",IF(B75=" ",SUM(F$12:F73),IF(B76=" "," ",F75-E76)))</f>
        <v xml:space="preserve"> </v>
      </c>
      <c r="G76" s="201" t="str">
        <f>IF(AND(B74=" ",B75=" ",B76=" ")," ",IF(B75=" ",SUM(G$12:G74),IF(B77=" ",IF(E$5*E$7=B76,C76-C$7+C$8+G$10," "),C76)))</f>
        <v xml:space="preserve"> </v>
      </c>
      <c r="H76" s="204" t="str">
        <f>IF(AND(B74=" ",B75=" ",B76=" ")," ",IF(B75=" ",SUM(H$13:H74)*E$7,IF(B76=" "," ",IF(B77=" ",IF(E$5*E$7=B76,IRR(G$12:G76,0.01)," ")," "))))</f>
        <v xml:space="preserve"> </v>
      </c>
      <c r="I76" s="202" t="str">
        <f t="shared" si="1"/>
        <v/>
      </c>
      <c r="J76" s="202" t="str">
        <f t="shared" si="2"/>
        <v/>
      </c>
      <c r="K76" s="55"/>
      <c r="L76" s="56"/>
      <c r="O76" s="67"/>
      <c r="P76" s="67" t="str">
        <f>IF($A77="","",IF($A78="",IF(YEAR($A77)=2003,SUM($D$12:$D77),""),IF(AND(YEAR($A77)=2003,YEAR($A78)=2004),SUM($D$12:$D77,$D78*(P$8-$A77)/($A78-$A77)),"")))</f>
        <v/>
      </c>
      <c r="Q76" s="67" t="str">
        <f>IF(A77="","",IF(A78="",IF(YEAR(A77)=2004,SUM(D$12:D77),""),IF(AND(YEAR(A77)=2004,YEAR(A78)=2005),SUM(D$12:D77,D78*(Q$8-A77)/(A78-A77)),"")))</f>
        <v/>
      </c>
      <c r="R76" s="67" t="str">
        <f>IF(A77="","",IF(A78="",IF(YEAR(A77)=2005,SUM(D$12:D77),""),IF(AND(YEAR(A77)=2005,YEAR(A78)=2006),SUM(D$12:D77,D78*(R$8-A77)/(A78-A77)),"")))</f>
        <v/>
      </c>
      <c r="S76" s="67" t="str">
        <f>IF(A77="","",IF(A78="",IF(YEAR(A77)=2006,SUM(D$12:D77),""),IF(AND(YEAR(A77)=2006,YEAR(A78)=2007),SUM(D$12:D77,D78*(S$8-A77)/(A78-A77)),"")))</f>
        <v/>
      </c>
      <c r="T76" s="67" t="str">
        <f>IF(A77="","",IF(A78="",IF(YEAR(A77)=2007,SUM(D$12:D77),""),IF(AND(YEAR(A77)=2007,YEAR(A78)=2008),SUM(D$12:D77,D78*(T$8-A77)/(A78-A77)),"")))</f>
        <v/>
      </c>
      <c r="U76" s="67" t="str">
        <f>IF(A77="","",IF(A78="",IF(YEAR(A77)=2008,SUM(D$12:D77),""),IF(AND(YEAR(A77)=2008,YEAR(A78)=2009),SUM(D$12:D77,D78*(U$8-A77)/(A78-A77)),"")))</f>
        <v/>
      </c>
      <c r="V76" s="67" t="str">
        <f>IF(A77="","",IF(A78="",IF(YEAR(A77)=2009,SUM(D$12:D77),""),IF(AND(YEAR(A77)=2009,YEAR(A78)=2010),SUM(D$12:D77,D78*(V$8-A77)/(A78-A77)),"")))</f>
        <v/>
      </c>
      <c r="W76" s="67" t="str">
        <f>IF(A77="","",IF(A78="",IF(YEAR(A77)=2010,SUM(D$12:D77),""),IF(AND(YEAR(A77)=2010,YEAR(A78)=2011),SUM(D$12:D77,D78*(W$8-A77)/(A78-A77)),"")))</f>
        <v/>
      </c>
      <c r="X76" s="67" t="str">
        <f>IF(A77="","",IF(A78="",IF(YEAR(A77)=2011,SUM(D$12:D77),""),IF(AND(YEAR(A77)=2011,YEAR(A78)=2012),SUM(D$12:D77,D78*(X$8-A77)/(A78-A77)),"")))</f>
        <v/>
      </c>
      <c r="Y76" s="72" t="str">
        <f>IF(A77="","",IF(A78="",IF(YEAR(A77)=2012,SUM(D$12:D77),""),IF(AND(YEAR(A77)=2012,YEAR(A78)=2013),SUM(D$12:D77,D78*(Y$8-A77)/(A78-A77)),"")))</f>
        <v/>
      </c>
      <c r="Z76" s="67" t="str">
        <f>IF($A77="","",IF($A78="",IF(YEAR($A77)=2002,SUM($J$12:$J77),""),IF(AND(YEAR($A77)=2002,YEAR($A78)=2003),SUM($J$12:$J77,$J78*(O$8-$A77)/($A78-$A77)),"")))</f>
        <v/>
      </c>
      <c r="AA76" s="67" t="str">
        <f>IF($A77="","",IF($A78="",IF(YEAR($A77)=2003,SUM($J$12:$J77),""),IF(AND(YEAR($A77)=2003,YEAR($A78)=2004),SUM($J$12:$J77,$J78*(P$8-$A77)/($A78-$A77)),"")))</f>
        <v/>
      </c>
      <c r="AB76" s="67" t="str">
        <f>IF($A77="","",IF($A78="",IF(YEAR($A77)=2004,SUM($J$12:$J77),""),IF(AND(YEAR($A77)=2004,YEAR($A78)=2005),SUM($J$12:$J77,$J78*(Q$8-$A77)/($A78-$A77)),"")))</f>
        <v/>
      </c>
      <c r="AC76" s="67" t="str">
        <f>IF($A77="","",IF($A78="",IF(YEAR($A77)=2005,SUM($J$12:$J77),""),IF(AND(YEAR($A77)=2005,YEAR($A78)=2006),SUM($J$12:$J77,$J78*(R$8-$A77)/($A78-$A77)),"")))</f>
        <v/>
      </c>
      <c r="AD76" s="67" t="str">
        <f>IF($A77="","",IF($A78="",IF(YEAR($A77)=2006,SUM($J$12:$J77),""),IF(AND(YEAR($A77)=2006,YEAR($A78)=2007),SUM($J$12:$J77,$J78*(S$8-$A77)/($A78-$A77)),"")))</f>
        <v/>
      </c>
      <c r="AE76" s="67" t="str">
        <f>IF($A77="","",IF($A78="",IF(YEAR($A77)=2007,SUM($J$12:$J77),""),IF(AND(YEAR($A77)=2007,YEAR($A78)=2008),SUM($J$12:$J77,$J78*(T$8-$A77)/($A78-$A77)),"")))</f>
        <v/>
      </c>
      <c r="AF76" s="67" t="str">
        <f>IF($A77="","",IF($A78="",IF(YEAR($A77)=2008,SUM($J$12:$J77),""),IF(AND(YEAR($A77)=2008,YEAR($A78)=2009),SUM($J$12:$J77,$J78*(U$8-$A77)/($A78-$A77)),"")))</f>
        <v/>
      </c>
      <c r="AG76" s="67" t="str">
        <f>IF($A77="","",IF($A78="",IF(YEAR($A77)=2009,SUM($J$12:$J77),""),IF(AND(YEAR($A77)=2009,YEAR($A78)=2010),SUM($J$12:$J77,$J78*(V$8-$A77)/($A78-$A77)),"")))</f>
        <v/>
      </c>
      <c r="AH76" s="67" t="str">
        <f>IF($A77="","",IF($A78="",IF(YEAR($A77)=2010,SUM($J$12:$J77),""),IF(AND(YEAR($A77)=2010,YEAR($A78)=2011),SUM($J$12:$J77,$J78*(W$8-$A77)/($A78-$A77)),"")))</f>
        <v/>
      </c>
      <c r="AI76" s="67" t="str">
        <f>IF($A77="","",IF($A78="",IF(YEAR($A77)=2011,SUM($J$12:$J77),""),IF(AND(YEAR($A77)=2011,YEAR($A78)=2012),SUM($J$12:$J77,$J78*(X$8-$A77)/($A78-$A77)),"")))</f>
        <v/>
      </c>
      <c r="AJ76" s="67" t="str">
        <f>IF($A77="","",IF($A78="",IF(YEAR($A77)=2012,SUM($J$12:$J77),""),IF(AND(YEAR($A77)=2012,YEAR($A78)=2013),SUM($J$12:$J77,$J78*(Y$8-$A77)/($A78-$A77)),"")))</f>
        <v/>
      </c>
    </row>
    <row r="77" spans="1:36" x14ac:dyDescent="0.2">
      <c r="A77" s="309" t="str">
        <f t="shared" ref="A77:A134" si="3">IF(B77&lt;=($E$5*$E$7),DATE(YEAR(A76),MONTH(A76)+12/$E$7,DAY(A76)),"")</f>
        <v/>
      </c>
      <c r="B77" s="168" t="str">
        <f>IF($E$5*$E$7&lt;65," ",65)</f>
        <v xml:space="preserve"> </v>
      </c>
      <c r="C77" s="201" t="str">
        <f>IF(AND(B75=" ",B76=" ",B77=" ")," ",IF(B76=" ",SUM(C$13:C75),IF(B77=" "," ",D77+E77)))</f>
        <v xml:space="preserve"> </v>
      </c>
      <c r="D77" s="201" t="str">
        <f>IF(AND(B75=" ",B76=" ",B77=" ")," ",IF(B76=" ",SUM(D$13:D75),IF(B77=" "," ",ROUND(F76*E$6/E$7,2))))</f>
        <v xml:space="preserve"> </v>
      </c>
      <c r="E77" s="201" t="str">
        <f>IF(AND(B75=" ",B76=" ",B77=" ")," ",IF(B76=" ",SUM(E$13:E75),IF(B77=" "," ",E$8)))</f>
        <v xml:space="preserve"> </v>
      </c>
      <c r="F77" s="201" t="str">
        <f>IF(AND(B75=" ",B76=" ",B77=" ")," ",IF(B76=" ",SUM(F$12:F74),IF(B77=" "," ",F76-E77)))</f>
        <v xml:space="preserve"> </v>
      </c>
      <c r="G77" s="201" t="str">
        <f>IF(AND(B75=" ",B76=" ",B77=" ")," ",IF(B76=" ",SUM(G$12:G75),IF(B78=" ",IF(E$5*E$7=B77,C77-C$7+C$8+G$10," "),C77)))</f>
        <v xml:space="preserve"> </v>
      </c>
      <c r="H77" s="204" t="str">
        <f>IF(AND(B75=" ",B76=" ",B77=" ")," ",IF(B76=" ",SUM(H$13:H75)*E$7,IF(B77=" "," ",IF(B78=" ",IF(E$5*E$7=B77,IRR(G$12:G77,0.01)," ")," "))))</f>
        <v xml:space="preserve"> </v>
      </c>
      <c r="I77" s="202" t="str">
        <f t="shared" ref="I77:I133" si="4">IF(A78="","",F77-C$7)</f>
        <v/>
      </c>
      <c r="J77" s="202" t="str">
        <f t="shared" ref="J77:J134" si="5">IF(I76="","",I76*(A77-A76)/365)</f>
        <v/>
      </c>
      <c r="K77" s="55"/>
      <c r="L77" s="56"/>
      <c r="O77" s="67"/>
      <c r="P77" s="67" t="str">
        <f>IF($A78="","",IF($A79="",IF(YEAR($A78)=2003,SUM($D$12:$D78),""),IF(AND(YEAR($A78)=2003,YEAR($A79)=2004),SUM($D$12:$D78,$D79*(P$8-$A78)/($A79-$A78)),"")))</f>
        <v/>
      </c>
      <c r="Q77" s="67" t="str">
        <f>IF(A78="","",IF(A79="",IF(YEAR(A78)=2004,SUM(D$12:D78),""),IF(AND(YEAR(A78)=2004,YEAR(A79)=2005),SUM(D$12:D78,D79*(Q$8-A78)/(A79-A78)),"")))</f>
        <v/>
      </c>
      <c r="R77" s="67" t="str">
        <f>IF(A78="","",IF(A79="",IF(YEAR(A78)=2005,SUM(D$12:D78),""),IF(AND(YEAR(A78)=2005,YEAR(A79)=2006),SUM(D$12:D78,D79*(R$8-A78)/(A79-A78)),"")))</f>
        <v/>
      </c>
      <c r="S77" s="67" t="str">
        <f>IF(A78="","",IF(A79="",IF(YEAR(A78)=2006,SUM(D$12:D78),""),IF(AND(YEAR(A78)=2006,YEAR(A79)=2007),SUM(D$12:D78,D79*(S$8-A78)/(A79-A78)),"")))</f>
        <v/>
      </c>
      <c r="T77" s="67" t="str">
        <f>IF(A78="","",IF(A79="",IF(YEAR(A78)=2007,SUM(D$12:D78),""),IF(AND(YEAR(A78)=2007,YEAR(A79)=2008),SUM(D$12:D78,D79*(T$8-A78)/(A79-A78)),"")))</f>
        <v/>
      </c>
      <c r="U77" s="67" t="str">
        <f>IF(A78="","",IF(A79="",IF(YEAR(A78)=2008,SUM(D$12:D78),""),IF(AND(YEAR(A78)=2008,YEAR(A79)=2009),SUM(D$12:D78,D79*(U$8-A78)/(A79-A78)),"")))</f>
        <v/>
      </c>
      <c r="V77" s="67" t="str">
        <f>IF(A78="","",IF(A79="",IF(YEAR(A78)=2009,SUM(D$12:D78),""),IF(AND(YEAR(A78)=2009,YEAR(A79)=2010),SUM(D$12:D78,D79*(V$8-A78)/(A79-A78)),"")))</f>
        <v/>
      </c>
      <c r="W77" s="67" t="str">
        <f>IF(A78="","",IF(A79="",IF(YEAR(A78)=2010,SUM(D$12:D78),""),IF(AND(YEAR(A78)=2010,YEAR(A79)=2011),SUM(D$12:D78,D79*(W$8-A78)/(A79-A78)),"")))</f>
        <v/>
      </c>
      <c r="X77" s="67" t="str">
        <f>IF(A78="","",IF(A79="",IF(YEAR(A78)=2011,SUM(D$12:D78),""),IF(AND(YEAR(A78)=2011,YEAR(A79)=2012),SUM(D$12:D78,D79*(X$8-A78)/(A79-A78)),"")))</f>
        <v/>
      </c>
      <c r="Y77" s="72" t="str">
        <f>IF(A78="","",IF(A79="",IF(YEAR(A78)=2012,SUM(D$12:D78),""),IF(AND(YEAR(A78)=2012,YEAR(A79)=2013),SUM(D$12:D78,D79*(Y$8-A78)/(A79-A78)),"")))</f>
        <v/>
      </c>
      <c r="Z77" s="67" t="str">
        <f>IF($A78="","",IF($A79="",IF(YEAR($A78)=2002,SUM($J$12:$J78),""),IF(AND(YEAR($A78)=2002,YEAR($A79)=2003),SUM($J$12:$J78,$J79*(O$8-$A78)/($A79-$A78)),"")))</f>
        <v/>
      </c>
      <c r="AA77" s="67" t="str">
        <f>IF($A78="","",IF($A79="",IF(YEAR($A78)=2003,SUM($J$12:$J78),""),IF(AND(YEAR($A78)=2003,YEAR($A79)=2004),SUM($J$12:$J78,$J79*(P$8-$A78)/($A79-$A78)),"")))</f>
        <v/>
      </c>
      <c r="AB77" s="67" t="str">
        <f>IF($A78="","",IF($A79="",IF(YEAR($A78)=2004,SUM($J$12:$J78),""),IF(AND(YEAR($A78)=2004,YEAR($A79)=2005),SUM($J$12:$J78,$J79*(Q$8-$A78)/($A79-$A78)),"")))</f>
        <v/>
      </c>
      <c r="AC77" s="67" t="str">
        <f>IF($A78="","",IF($A79="",IF(YEAR($A78)=2005,SUM($J$12:$J78),""),IF(AND(YEAR($A78)=2005,YEAR($A79)=2006),SUM($J$12:$J78,$J79*(R$8-$A78)/($A79-$A78)),"")))</f>
        <v/>
      </c>
      <c r="AD77" s="67" t="str">
        <f>IF($A78="","",IF($A79="",IF(YEAR($A78)=2006,SUM($J$12:$J78),""),IF(AND(YEAR($A78)=2006,YEAR($A79)=2007),SUM($J$12:$J78,$J79*(S$8-$A78)/($A79-$A78)),"")))</f>
        <v/>
      </c>
      <c r="AE77" s="67" t="str">
        <f>IF($A78="","",IF($A79="",IF(YEAR($A78)=2007,SUM($J$12:$J78),""),IF(AND(YEAR($A78)=2007,YEAR($A79)=2008),SUM($J$12:$J78,$J79*(T$8-$A78)/($A79-$A78)),"")))</f>
        <v/>
      </c>
      <c r="AF77" s="67" t="str">
        <f>IF($A78="","",IF($A79="",IF(YEAR($A78)=2008,SUM($J$12:$J78),""),IF(AND(YEAR($A78)=2008,YEAR($A79)=2009),SUM($J$12:$J78,$J79*(U$8-$A78)/($A79-$A78)),"")))</f>
        <v/>
      </c>
      <c r="AG77" s="67" t="str">
        <f>IF($A78="","",IF($A79="",IF(YEAR($A78)=2009,SUM($J$12:$J78),""),IF(AND(YEAR($A78)=2009,YEAR($A79)=2010),SUM($J$12:$J78,$J79*(V$8-$A78)/($A79-$A78)),"")))</f>
        <v/>
      </c>
      <c r="AH77" s="67" t="str">
        <f>IF($A78="","",IF($A79="",IF(YEAR($A78)=2010,SUM($J$12:$J78),""),IF(AND(YEAR($A78)=2010,YEAR($A79)=2011),SUM($J$12:$J78,$J79*(W$8-$A78)/($A79-$A78)),"")))</f>
        <v/>
      </c>
      <c r="AI77" s="67" t="str">
        <f>IF($A78="","",IF($A79="",IF(YEAR($A78)=2011,SUM($J$12:$J78),""),IF(AND(YEAR($A78)=2011,YEAR($A79)=2012),SUM($J$12:$J78,$J79*(X$8-$A78)/($A79-$A78)),"")))</f>
        <v/>
      </c>
      <c r="AJ77" s="67" t="str">
        <f>IF($A78="","",IF($A79="",IF(YEAR($A78)=2012,SUM($J$12:$J78),""),IF(AND(YEAR($A78)=2012,YEAR($A79)=2013),SUM($J$12:$J78,$J79*(Y$8-$A78)/($A79-$A78)),"")))</f>
        <v/>
      </c>
    </row>
    <row r="78" spans="1:36" x14ac:dyDescent="0.2">
      <c r="A78" s="309" t="str">
        <f t="shared" si="3"/>
        <v/>
      </c>
      <c r="B78" s="168" t="str">
        <f>IF($E$5*$E$7&lt;66," ",66)</f>
        <v xml:space="preserve"> </v>
      </c>
      <c r="C78" s="201" t="str">
        <f>IF(AND(B76=" ",B77=" ",B78=" ")," ",IF(B77=" ",SUM(C$13:C76),IF(B78=" "," ",D78+E78)))</f>
        <v xml:space="preserve"> </v>
      </c>
      <c r="D78" s="201" t="str">
        <f>IF(AND(B76=" ",B77=" ",B78=" ")," ",IF(B77=" ",SUM(D$13:D76),IF(B78=" "," ",ROUND(F77*E$6/E$7,2))))</f>
        <v xml:space="preserve"> </v>
      </c>
      <c r="E78" s="201" t="str">
        <f>IF(AND(B76=" ",B77=" ",B78=" ")," ",IF(B77=" ",SUM(E$13:E76),IF(B78=" "," ",E$8)))</f>
        <v xml:space="preserve"> </v>
      </c>
      <c r="F78" s="201" t="str">
        <f>IF(AND(B76=" ",B77=" ",B78=" ")," ",IF(B77=" ",SUM(F$12:F75),IF(B78=" "," ",F77-E78)))</f>
        <v xml:space="preserve"> </v>
      </c>
      <c r="G78" s="201" t="str">
        <f>IF(AND(B76=" ",B77=" ",B78=" ")," ",IF(B77=" ",SUM(G$12:G76),IF(B79=" ",IF(E$5*E$7=B78,C78-C$7+C$8+G$10," "),C78)))</f>
        <v xml:space="preserve"> </v>
      </c>
      <c r="H78" s="204" t="str">
        <f>IF(AND(B76=" ",B77=" ",B78=" ")," ",IF(B77=" ",SUM(H$13:H76)*E$7,IF(B78=" "," ",IF(B79=" ",IF(E$5*E$7=B78,IRR(G$12:G78,0.01)," ")," "))))</f>
        <v xml:space="preserve"> </v>
      </c>
      <c r="I78" s="202" t="str">
        <f t="shared" si="4"/>
        <v/>
      </c>
      <c r="J78" s="202" t="str">
        <f t="shared" si="5"/>
        <v/>
      </c>
      <c r="K78" s="55"/>
      <c r="L78" s="56"/>
      <c r="O78" s="67"/>
      <c r="P78" s="67" t="str">
        <f>IF($A79="","",IF($A80="",IF(YEAR($A79)=2003,SUM($D$12:$D79),""),IF(AND(YEAR($A79)=2003,YEAR($A80)=2004),SUM($D$12:$D79,$D80*(P$8-$A79)/($A80-$A79)),"")))</f>
        <v/>
      </c>
      <c r="Q78" s="67" t="str">
        <f>IF(A79="","",IF(A80="",IF(YEAR(A79)=2004,SUM(D$12:D79),""),IF(AND(YEAR(A79)=2004,YEAR(A80)=2005),SUM(D$12:D79,D80*(Q$8-A79)/(A80-A79)),"")))</f>
        <v/>
      </c>
      <c r="R78" s="67" t="str">
        <f>IF(A79="","",IF(A80="",IF(YEAR(A79)=2005,SUM(D$12:D79),""),IF(AND(YEAR(A79)=2005,YEAR(A80)=2006),SUM(D$12:D79,D80*(R$8-A79)/(A80-A79)),"")))</f>
        <v/>
      </c>
      <c r="S78" s="67" t="str">
        <f>IF(A79="","",IF(A80="",IF(YEAR(A79)=2006,SUM(D$12:D79),""),IF(AND(YEAR(A79)=2006,YEAR(A80)=2007),SUM(D$12:D79,D80*(S$8-A79)/(A80-A79)),"")))</f>
        <v/>
      </c>
      <c r="T78" s="67" t="str">
        <f>IF(A79="","",IF(A80="",IF(YEAR(A79)=2007,SUM(D$12:D79),""),IF(AND(YEAR(A79)=2007,YEAR(A80)=2008),SUM(D$12:D79,D80*(T$8-A79)/(A80-A79)),"")))</f>
        <v/>
      </c>
      <c r="U78" s="67" t="str">
        <f>IF(A79="","",IF(A80="",IF(YEAR(A79)=2008,SUM(D$12:D79),""),IF(AND(YEAR(A79)=2008,YEAR(A80)=2009),SUM(D$12:D79,D80*(U$8-A79)/(A80-A79)),"")))</f>
        <v/>
      </c>
      <c r="V78" s="67" t="str">
        <f>IF(A79="","",IF(A80="",IF(YEAR(A79)=2009,SUM(D$12:D79),""),IF(AND(YEAR(A79)=2009,YEAR(A80)=2010),SUM(D$12:D79,D80*(V$8-A79)/(A80-A79)),"")))</f>
        <v/>
      </c>
      <c r="W78" s="67" t="str">
        <f>IF(A79="","",IF(A80="",IF(YEAR(A79)=2010,SUM(D$12:D79),""),IF(AND(YEAR(A79)=2010,YEAR(A80)=2011),SUM(D$12:D79,D80*(W$8-A79)/(A80-A79)),"")))</f>
        <v/>
      </c>
      <c r="X78" s="67" t="str">
        <f>IF(A79="","",IF(A80="",IF(YEAR(A79)=2011,SUM(D$12:D79),""),IF(AND(YEAR(A79)=2011,YEAR(A80)=2012),SUM(D$12:D79,D80*(X$8-A79)/(A80-A79)),"")))</f>
        <v/>
      </c>
      <c r="Y78" s="72" t="str">
        <f>IF(A79="","",IF(A80="",IF(YEAR(A79)=2012,SUM(D$12:D79),""),IF(AND(YEAR(A79)=2012,YEAR(A80)=2013),SUM(D$12:D79,D80*(Y$8-A79)/(A80-A79)),"")))</f>
        <v/>
      </c>
      <c r="Z78" s="67" t="str">
        <f>IF($A79="","",IF($A80="",IF(YEAR($A79)=2002,SUM($J$12:$J79),""),IF(AND(YEAR($A79)=2002,YEAR($A80)=2003),SUM($J$12:$J79,$J80*(O$8-$A79)/($A80-$A79)),"")))</f>
        <v/>
      </c>
      <c r="AA78" s="67" t="str">
        <f>IF($A79="","",IF($A80="",IF(YEAR($A79)=2003,SUM($J$12:$J79),""),IF(AND(YEAR($A79)=2003,YEAR($A80)=2004),SUM($J$12:$J79,$J80*(P$8-$A79)/($A80-$A79)),"")))</f>
        <v/>
      </c>
      <c r="AB78" s="67" t="str">
        <f>IF($A79="","",IF($A80="",IF(YEAR($A79)=2004,SUM($J$12:$J79),""),IF(AND(YEAR($A79)=2004,YEAR($A80)=2005),SUM($J$12:$J79,$J80*(Q$8-$A79)/($A80-$A79)),"")))</f>
        <v/>
      </c>
      <c r="AC78" s="67" t="str">
        <f>IF($A79="","",IF($A80="",IF(YEAR($A79)=2005,SUM($J$12:$J79),""),IF(AND(YEAR($A79)=2005,YEAR($A80)=2006),SUM($J$12:$J79,$J80*(R$8-$A79)/($A80-$A79)),"")))</f>
        <v/>
      </c>
      <c r="AD78" s="67" t="str">
        <f>IF($A79="","",IF($A80="",IF(YEAR($A79)=2006,SUM($J$12:$J79),""),IF(AND(YEAR($A79)=2006,YEAR($A80)=2007),SUM($J$12:$J79,$J80*(S$8-$A79)/($A80-$A79)),"")))</f>
        <v/>
      </c>
      <c r="AE78" s="67" t="str">
        <f>IF($A79="","",IF($A80="",IF(YEAR($A79)=2007,SUM($J$12:$J79),""),IF(AND(YEAR($A79)=2007,YEAR($A80)=2008),SUM($J$12:$J79,$J80*(T$8-$A79)/($A80-$A79)),"")))</f>
        <v/>
      </c>
      <c r="AF78" s="67" t="str">
        <f>IF($A79="","",IF($A80="",IF(YEAR($A79)=2008,SUM($J$12:$J79),""),IF(AND(YEAR($A79)=2008,YEAR($A80)=2009),SUM($J$12:$J79,$J80*(U$8-$A79)/($A80-$A79)),"")))</f>
        <v/>
      </c>
      <c r="AG78" s="67" t="str">
        <f>IF($A79="","",IF($A80="",IF(YEAR($A79)=2009,SUM($J$12:$J79),""),IF(AND(YEAR($A79)=2009,YEAR($A80)=2010),SUM($J$12:$J79,$J80*(V$8-$A79)/($A80-$A79)),"")))</f>
        <v/>
      </c>
      <c r="AH78" s="67" t="str">
        <f>IF($A79="","",IF($A80="",IF(YEAR($A79)=2010,SUM($J$12:$J79),""),IF(AND(YEAR($A79)=2010,YEAR($A80)=2011),SUM($J$12:$J79,$J80*(W$8-$A79)/($A80-$A79)),"")))</f>
        <v/>
      </c>
      <c r="AI78" s="67" t="str">
        <f>IF($A79="","",IF($A80="",IF(YEAR($A79)=2011,SUM($J$12:$J79),""),IF(AND(YEAR($A79)=2011,YEAR($A80)=2012),SUM($J$12:$J79,$J80*(X$8-$A79)/($A80-$A79)),"")))</f>
        <v/>
      </c>
      <c r="AJ78" s="67" t="str">
        <f>IF($A79="","",IF($A80="",IF(YEAR($A79)=2012,SUM($J$12:$J79),""),IF(AND(YEAR($A79)=2012,YEAR($A80)=2013),SUM($J$12:$J79,$J80*(Y$8-$A79)/($A80-$A79)),"")))</f>
        <v/>
      </c>
    </row>
    <row r="79" spans="1:36" x14ac:dyDescent="0.2">
      <c r="A79" s="309" t="str">
        <f t="shared" si="3"/>
        <v/>
      </c>
      <c r="B79" s="168" t="str">
        <f>IF($E$5*$E$7&lt;67," ",67)</f>
        <v xml:space="preserve"> </v>
      </c>
      <c r="C79" s="201" t="str">
        <f>IF(AND(B77=" ",B78=" ",B79=" ")," ",IF(B78=" ",SUM(C$13:C77),IF(B79=" "," ",D79+E79)))</f>
        <v xml:space="preserve"> </v>
      </c>
      <c r="D79" s="201" t="str">
        <f>IF(AND(B77=" ",B78=" ",B79=" ")," ",IF(B78=" ",SUM(D$13:D77),IF(B79=" "," ",ROUND(F78*E$6/E$7,2))))</f>
        <v xml:space="preserve"> </v>
      </c>
      <c r="E79" s="201" t="str">
        <f>IF(AND(B77=" ",B78=" ",B79=" ")," ",IF(B78=" ",SUM(E$13:E77),IF(B79=" "," ",E$8)))</f>
        <v xml:space="preserve"> </v>
      </c>
      <c r="F79" s="201" t="str">
        <f>IF(AND(B77=" ",B78=" ",B79=" ")," ",IF(B78=" ",SUM(F$12:F76),IF(B79=" "," ",F78-E79)))</f>
        <v xml:space="preserve"> </v>
      </c>
      <c r="G79" s="201" t="str">
        <f>IF(AND(B77=" ",B78=" ",B79=" ")," ",IF(B78=" ",SUM(G$12:G77),IF(B80=" ",IF(E$5*E$7=B79,C79-C$7+C$8+G$10," "),C79)))</f>
        <v xml:space="preserve"> </v>
      </c>
      <c r="H79" s="204" t="str">
        <f>IF(AND(B77=" ",B78=" ",B79=" ")," ",IF(B78=" ",SUM(H$13:H77)*E$7,IF(B79=" "," ",IF(B80=" ",IF(E$5*E$7=B79,IRR(G$12:G79,0.01)," ")," "))))</f>
        <v xml:space="preserve"> </v>
      </c>
      <c r="I79" s="202" t="str">
        <f t="shared" si="4"/>
        <v/>
      </c>
      <c r="J79" s="202" t="str">
        <f t="shared" si="5"/>
        <v/>
      </c>
      <c r="K79" s="55"/>
      <c r="L79" s="56"/>
      <c r="O79" s="67"/>
      <c r="P79" s="67" t="str">
        <f>IF($A80="","",IF($A81="",IF(YEAR($A80)=2003,SUM($D$12:$D80),""),IF(AND(YEAR($A80)=2003,YEAR($A81)=2004),SUM($D$12:$D80,$D81*(P$8-$A80)/($A81-$A80)),"")))</f>
        <v/>
      </c>
      <c r="Q79" s="67" t="str">
        <f>IF(A80="","",IF(A81="",IF(YEAR(A80)=2004,SUM(D$12:D80),""),IF(AND(YEAR(A80)=2004,YEAR(A81)=2005),SUM(D$12:D80,D81*(Q$8-A80)/(A81-A80)),"")))</f>
        <v/>
      </c>
      <c r="R79" s="67" t="str">
        <f>IF(A80="","",IF(A81="",IF(YEAR(A80)=2005,SUM(D$12:D80),""),IF(AND(YEAR(A80)=2005,YEAR(A81)=2006),SUM(D$12:D80,D81*(R$8-A80)/(A81-A80)),"")))</f>
        <v/>
      </c>
      <c r="S79" s="67" t="str">
        <f>IF(A80="","",IF(A81="",IF(YEAR(A80)=2006,SUM(D$12:D80),""),IF(AND(YEAR(A80)=2006,YEAR(A81)=2007),SUM(D$12:D80,D81*(S$8-A80)/(A81-A80)),"")))</f>
        <v/>
      </c>
      <c r="T79" s="67" t="str">
        <f>IF(A80="","",IF(A81="",IF(YEAR(A80)=2007,SUM(D$12:D80),""),IF(AND(YEAR(A80)=2007,YEAR(A81)=2008),SUM(D$12:D80,D81*(T$8-A80)/(A81-A80)),"")))</f>
        <v/>
      </c>
      <c r="U79" s="67" t="str">
        <f>IF(A80="","",IF(A81="",IF(YEAR(A80)=2008,SUM(D$12:D80),""),IF(AND(YEAR(A80)=2008,YEAR(A81)=2009),SUM(D$12:D80,D81*(U$8-A80)/(A81-A80)),"")))</f>
        <v/>
      </c>
      <c r="V79" s="67" t="str">
        <f>IF(A80="","",IF(A81="",IF(YEAR(A80)=2009,SUM(D$12:D80),""),IF(AND(YEAR(A80)=2009,YEAR(A81)=2010),SUM(D$12:D80,D81*(V$8-A80)/(A81-A80)),"")))</f>
        <v/>
      </c>
      <c r="W79" s="67" t="str">
        <f>IF(A80="","",IF(A81="",IF(YEAR(A80)=2010,SUM(D$12:D80),""),IF(AND(YEAR(A80)=2010,YEAR(A81)=2011),SUM(D$12:D80,D81*(W$8-A80)/(A81-A80)),"")))</f>
        <v/>
      </c>
      <c r="X79" s="67" t="str">
        <f>IF(A80="","",IF(A81="",IF(YEAR(A80)=2011,SUM(D$12:D80),""),IF(AND(YEAR(A80)=2011,YEAR(A81)=2012),SUM(D$12:D80,D81*(X$8-A80)/(A81-A80)),"")))</f>
        <v/>
      </c>
      <c r="Y79" s="72" t="str">
        <f>IF(A80="","",IF(A81="",IF(YEAR(A80)=2012,SUM(D$12:D80),""),IF(AND(YEAR(A80)=2012,YEAR(A81)=2013),SUM(D$12:D80,D81*(Y$8-A80)/(A81-A80)),"")))</f>
        <v/>
      </c>
      <c r="Z79" s="67" t="str">
        <f>IF($A80="","",IF($A81="",IF(YEAR($A80)=2002,SUM($J$12:$J80),""),IF(AND(YEAR($A80)=2002,YEAR($A81)=2003),SUM($J$12:$J80,$J81*(O$8-$A80)/($A81-$A80)),"")))</f>
        <v/>
      </c>
      <c r="AA79" s="67" t="str">
        <f>IF($A80="","",IF($A81="",IF(YEAR($A80)=2003,SUM($J$12:$J80),""),IF(AND(YEAR($A80)=2003,YEAR($A81)=2004),SUM($J$12:$J80,$J81*(P$8-$A80)/($A81-$A80)),"")))</f>
        <v/>
      </c>
      <c r="AB79" s="67" t="str">
        <f>IF($A80="","",IF($A81="",IF(YEAR($A80)=2004,SUM($J$12:$J80),""),IF(AND(YEAR($A80)=2004,YEAR($A81)=2005),SUM($J$12:$J80,$J81*(Q$8-$A80)/($A81-$A80)),"")))</f>
        <v/>
      </c>
      <c r="AC79" s="67" t="str">
        <f>IF($A80="","",IF($A81="",IF(YEAR($A80)=2005,SUM($J$12:$J80),""),IF(AND(YEAR($A80)=2005,YEAR($A81)=2006),SUM($J$12:$J80,$J81*(R$8-$A80)/($A81-$A80)),"")))</f>
        <v/>
      </c>
      <c r="AD79" s="67" t="str">
        <f>IF($A80="","",IF($A81="",IF(YEAR($A80)=2006,SUM($J$12:$J80),""),IF(AND(YEAR($A80)=2006,YEAR($A81)=2007),SUM($J$12:$J80,$J81*(S$8-$A80)/($A81-$A80)),"")))</f>
        <v/>
      </c>
      <c r="AE79" s="67" t="str">
        <f>IF($A80="","",IF($A81="",IF(YEAR($A80)=2007,SUM($J$12:$J80),""),IF(AND(YEAR($A80)=2007,YEAR($A81)=2008),SUM($J$12:$J80,$J81*(T$8-$A80)/($A81-$A80)),"")))</f>
        <v/>
      </c>
      <c r="AF79" s="67" t="str">
        <f>IF($A80="","",IF($A81="",IF(YEAR($A80)=2008,SUM($J$12:$J80),""),IF(AND(YEAR($A80)=2008,YEAR($A81)=2009),SUM($J$12:$J80,$J81*(U$8-$A80)/($A81-$A80)),"")))</f>
        <v/>
      </c>
      <c r="AG79" s="67" t="str">
        <f>IF($A80="","",IF($A81="",IF(YEAR($A80)=2009,SUM($J$12:$J80),""),IF(AND(YEAR($A80)=2009,YEAR($A81)=2010),SUM($J$12:$J80,$J81*(V$8-$A80)/($A81-$A80)),"")))</f>
        <v/>
      </c>
      <c r="AH79" s="67" t="str">
        <f>IF($A80="","",IF($A81="",IF(YEAR($A80)=2010,SUM($J$12:$J80),""),IF(AND(YEAR($A80)=2010,YEAR($A81)=2011),SUM($J$12:$J80,$J81*(W$8-$A80)/($A81-$A80)),"")))</f>
        <v/>
      </c>
      <c r="AI79" s="67" t="str">
        <f>IF($A80="","",IF($A81="",IF(YEAR($A80)=2011,SUM($J$12:$J80),""),IF(AND(YEAR($A80)=2011,YEAR($A81)=2012),SUM($J$12:$J80,$J81*(X$8-$A80)/($A81-$A80)),"")))</f>
        <v/>
      </c>
      <c r="AJ79" s="67" t="str">
        <f>IF($A80="","",IF($A81="",IF(YEAR($A80)=2012,SUM($J$12:$J80),""),IF(AND(YEAR($A80)=2012,YEAR($A81)=2013),SUM($J$12:$J80,$J81*(Y$8-$A80)/($A81-$A80)),"")))</f>
        <v/>
      </c>
    </row>
    <row r="80" spans="1:36" x14ac:dyDescent="0.2">
      <c r="A80" s="309" t="str">
        <f t="shared" si="3"/>
        <v/>
      </c>
      <c r="B80" s="168" t="str">
        <f>IF($E$5*$E$7&lt;68," ",68)</f>
        <v xml:space="preserve"> </v>
      </c>
      <c r="C80" s="201" t="str">
        <f>IF(AND(B78=" ",B79=" ",B80=" ")," ",IF(B79=" ",SUM(C$13:C78),IF(B80=" "," ",D80+E80)))</f>
        <v xml:space="preserve"> </v>
      </c>
      <c r="D80" s="201" t="str">
        <f>IF(AND(B78=" ",B79=" ",B80=" ")," ",IF(B79=" ",SUM(D$13:D78),IF(B80=" "," ",ROUND(F79*E$6/E$7,2))))</f>
        <v xml:space="preserve"> </v>
      </c>
      <c r="E80" s="201" t="str">
        <f>IF(AND(B78=" ",B79=" ",B80=" ")," ",IF(B79=" ",SUM(E$13:E78),IF(B80=" "," ",E$8)))</f>
        <v xml:space="preserve"> </v>
      </c>
      <c r="F80" s="201" t="str">
        <f>IF(AND(B78=" ",B79=" ",B80=" ")," ",IF(B79=" ",SUM(F$12:F77),IF(B80=" "," ",F79-E80)))</f>
        <v xml:space="preserve"> </v>
      </c>
      <c r="G80" s="201" t="str">
        <f>IF(AND(B78=" ",B79=" ",B80=" ")," ",IF(B79=" ",SUM(G$12:G78),IF(B81=" ",IF(E$5*E$7=B80,C80-C$7+C$8+G$10," "),C80)))</f>
        <v xml:space="preserve"> </v>
      </c>
      <c r="H80" s="204" t="str">
        <f>IF(AND(B78=" ",B79=" ",B80=" ")," ",IF(B79=" ",SUM(H$13:H78)*E$7,IF(B80=" "," ",IF(B81=" ",IF(E$5*E$7=B80,IRR(G$12:G80,0.01)," ")," "))))</f>
        <v xml:space="preserve"> </v>
      </c>
      <c r="I80" s="202" t="str">
        <f t="shared" si="4"/>
        <v/>
      </c>
      <c r="J80" s="202" t="str">
        <f t="shared" si="5"/>
        <v/>
      </c>
      <c r="K80" s="55"/>
      <c r="L80" s="56"/>
      <c r="O80" s="67"/>
      <c r="P80" s="67" t="str">
        <f>IF($A81="","",IF($A82="",IF(YEAR($A81)=2003,SUM($D$12:$D81),""),IF(AND(YEAR($A81)=2003,YEAR($A82)=2004),SUM($D$12:$D81,$D82*(P$8-$A81)/($A82-$A81)),"")))</f>
        <v/>
      </c>
      <c r="Q80" s="67" t="str">
        <f>IF(A81="","",IF(A82="",IF(YEAR(A81)=2004,SUM(D$12:D81),""),IF(AND(YEAR(A81)=2004,YEAR(A82)=2005),SUM(D$12:D81,D82*(Q$8-A81)/(A82-A81)),"")))</f>
        <v/>
      </c>
      <c r="R80" s="67" t="str">
        <f>IF(A81="","",IF(A82="",IF(YEAR(A81)=2005,SUM(D$12:D81),""),IF(AND(YEAR(A81)=2005,YEAR(A82)=2006),SUM(D$12:D81,D82*(R$8-A81)/(A82-A81)),"")))</f>
        <v/>
      </c>
      <c r="S80" s="67" t="str">
        <f>IF(A81="","",IF(A82="",IF(YEAR(A81)=2006,SUM(D$12:D81),""),IF(AND(YEAR(A81)=2006,YEAR(A82)=2007),SUM(D$12:D81,D82*(S$8-A81)/(A82-A81)),"")))</f>
        <v/>
      </c>
      <c r="T80" s="67" t="str">
        <f>IF(A81="","",IF(A82="",IF(YEAR(A81)=2007,SUM(D$12:D81),""),IF(AND(YEAR(A81)=2007,YEAR(A82)=2008),SUM(D$12:D81,D82*(T$8-A81)/(A82-A81)),"")))</f>
        <v/>
      </c>
      <c r="U80" s="67" t="str">
        <f>IF(A81="","",IF(A82="",IF(YEAR(A81)=2008,SUM(D$12:D81),""),IF(AND(YEAR(A81)=2008,YEAR(A82)=2009),SUM(D$12:D81,D82*(U$8-A81)/(A82-A81)),"")))</f>
        <v/>
      </c>
      <c r="V80" s="67" t="str">
        <f>IF(A81="","",IF(A82="",IF(YEAR(A81)=2009,SUM(D$12:D81),""),IF(AND(YEAR(A81)=2009,YEAR(A82)=2010),SUM(D$12:D81,D82*(V$8-A81)/(A82-A81)),"")))</f>
        <v/>
      </c>
      <c r="W80" s="67" t="str">
        <f>IF(A81="","",IF(A82="",IF(YEAR(A81)=2010,SUM(D$12:D81),""),IF(AND(YEAR(A81)=2010,YEAR(A82)=2011),SUM(D$12:D81,D82*(W$8-A81)/(A82-A81)),"")))</f>
        <v/>
      </c>
      <c r="X80" s="67" t="str">
        <f>IF(A81="","",IF(A82="",IF(YEAR(A81)=2011,SUM(D$12:D81),""),IF(AND(YEAR(A81)=2011,YEAR(A82)=2012),SUM(D$12:D81,D82*(X$8-A81)/(A82-A81)),"")))</f>
        <v/>
      </c>
      <c r="Y80" s="72" t="str">
        <f>IF(A81="","",IF(A82="",IF(YEAR(A81)=2012,SUM(D$12:D81),""),IF(AND(YEAR(A81)=2012,YEAR(A82)=2013),SUM(D$12:D81,D82*(Y$8-A81)/(A82-A81)),"")))</f>
        <v/>
      </c>
      <c r="Z80" s="67" t="str">
        <f>IF($A81="","",IF($A82="",IF(YEAR($A81)=2002,SUM($J$12:$J81),""),IF(AND(YEAR($A81)=2002,YEAR($A82)=2003),SUM($J$12:$J81,$J82*(O$8-$A81)/($A82-$A81)),"")))</f>
        <v/>
      </c>
      <c r="AA80" s="67" t="str">
        <f>IF($A81="","",IF($A82="",IF(YEAR($A81)=2003,SUM($J$12:$J81),""),IF(AND(YEAR($A81)=2003,YEAR($A82)=2004),SUM($J$12:$J81,$J82*(P$8-$A81)/($A82-$A81)),"")))</f>
        <v/>
      </c>
      <c r="AB80" s="67" t="str">
        <f>IF($A81="","",IF($A82="",IF(YEAR($A81)=2004,SUM($J$12:$J81),""),IF(AND(YEAR($A81)=2004,YEAR($A82)=2005),SUM($J$12:$J81,$J82*(Q$8-$A81)/($A82-$A81)),"")))</f>
        <v/>
      </c>
      <c r="AC80" s="67" t="str">
        <f>IF($A81="","",IF($A82="",IF(YEAR($A81)=2005,SUM($J$12:$J81),""),IF(AND(YEAR($A81)=2005,YEAR($A82)=2006),SUM($J$12:$J81,$J82*(R$8-$A81)/($A82-$A81)),"")))</f>
        <v/>
      </c>
      <c r="AD80" s="67" t="str">
        <f>IF($A81="","",IF($A82="",IF(YEAR($A81)=2006,SUM($J$12:$J81),""),IF(AND(YEAR($A81)=2006,YEAR($A82)=2007),SUM($J$12:$J81,$J82*(S$8-$A81)/($A82-$A81)),"")))</f>
        <v/>
      </c>
      <c r="AE80" s="67" t="str">
        <f>IF($A81="","",IF($A82="",IF(YEAR($A81)=2007,SUM($J$12:$J81),""),IF(AND(YEAR($A81)=2007,YEAR($A82)=2008),SUM($J$12:$J81,$J82*(T$8-$A81)/($A82-$A81)),"")))</f>
        <v/>
      </c>
      <c r="AF80" s="67" t="str">
        <f>IF($A81="","",IF($A82="",IF(YEAR($A81)=2008,SUM($J$12:$J81),""),IF(AND(YEAR($A81)=2008,YEAR($A82)=2009),SUM($J$12:$J81,$J82*(U$8-$A81)/($A82-$A81)),"")))</f>
        <v/>
      </c>
      <c r="AG80" s="67" t="str">
        <f>IF($A81="","",IF($A82="",IF(YEAR($A81)=2009,SUM($J$12:$J81),""),IF(AND(YEAR($A81)=2009,YEAR($A82)=2010),SUM($J$12:$J81,$J82*(V$8-$A81)/($A82-$A81)),"")))</f>
        <v/>
      </c>
      <c r="AH80" s="67" t="str">
        <f>IF($A81="","",IF($A82="",IF(YEAR($A81)=2010,SUM($J$12:$J81),""),IF(AND(YEAR($A81)=2010,YEAR($A82)=2011),SUM($J$12:$J81,$J82*(W$8-$A81)/($A82-$A81)),"")))</f>
        <v/>
      </c>
      <c r="AI80" s="67" t="str">
        <f>IF($A81="","",IF($A82="",IF(YEAR($A81)=2011,SUM($J$12:$J81),""),IF(AND(YEAR($A81)=2011,YEAR($A82)=2012),SUM($J$12:$J81,$J82*(X$8-$A81)/($A82-$A81)),"")))</f>
        <v/>
      </c>
      <c r="AJ80" s="67" t="str">
        <f>IF($A81="","",IF($A82="",IF(YEAR($A81)=2012,SUM($J$12:$J81),""),IF(AND(YEAR($A81)=2012,YEAR($A82)=2013),SUM($J$12:$J81,$J82*(Y$8-$A81)/($A82-$A81)),"")))</f>
        <v/>
      </c>
    </row>
    <row r="81" spans="1:36" x14ac:dyDescent="0.2">
      <c r="A81" s="309" t="str">
        <f t="shared" si="3"/>
        <v/>
      </c>
      <c r="B81" s="168" t="str">
        <f>IF($E$5*$E$7&lt;69," ",69)</f>
        <v xml:space="preserve"> </v>
      </c>
      <c r="C81" s="201" t="str">
        <f>IF(AND(B79=" ",B80=" ",B81=" ")," ",IF(B80=" ",SUM(C$13:C79),IF(B81=" "," ",D81+E81)))</f>
        <v xml:space="preserve"> </v>
      </c>
      <c r="D81" s="201" t="str">
        <f>IF(AND(B79=" ",B80=" ",B81=" ")," ",IF(B80=" ",SUM(D$13:D79),IF(B81=" "," ",ROUND(F80*E$6/E$7,2))))</f>
        <v xml:space="preserve"> </v>
      </c>
      <c r="E81" s="201" t="str">
        <f>IF(AND(B79=" ",B80=" ",B81=" ")," ",IF(B80=" ",SUM(E$13:E79),IF(B81=" "," ",E$8)))</f>
        <v xml:space="preserve"> </v>
      </c>
      <c r="F81" s="201" t="str">
        <f>IF(AND(B79=" ",B80=" ",B81=" ")," ",IF(B80=" ",SUM(F$12:F78),IF(B81=" "," ",F80-E81)))</f>
        <v xml:space="preserve"> </v>
      </c>
      <c r="G81" s="201" t="str">
        <f>IF(AND(B79=" ",B80=" ",B81=" ")," ",IF(B80=" ",SUM(G$12:G79),IF(B82=" ",IF(E$5*E$7=B81,C81-C$7+C$8+G$10," "),C81)))</f>
        <v xml:space="preserve"> </v>
      </c>
      <c r="H81" s="204" t="str">
        <f>IF(AND(B79=" ",B80=" ",B81=" ")," ",IF(B80=" ",SUM(H$13:H79)*E$7,IF(B81=" "," ",IF(B82=" ",IF(E$5*E$7=B81,IRR(G$12:G81,0.01)," ")," "))))</f>
        <v xml:space="preserve"> </v>
      </c>
      <c r="I81" s="202" t="str">
        <f t="shared" si="4"/>
        <v/>
      </c>
      <c r="J81" s="202" t="str">
        <f t="shared" si="5"/>
        <v/>
      </c>
      <c r="K81" s="55"/>
      <c r="L81" s="56"/>
      <c r="O81" s="67"/>
      <c r="P81" s="67" t="str">
        <f>IF($A82="","",IF($A83="",IF(YEAR($A82)=2003,SUM($D$12:$D82),""),IF(AND(YEAR($A82)=2003,YEAR($A83)=2004),SUM($D$12:$D82,$D83*(P$8-$A82)/($A83-$A82)),"")))</f>
        <v/>
      </c>
      <c r="Q81" s="67" t="str">
        <f>IF(A82="","",IF(A83="",IF(YEAR(A82)=2004,SUM(D$12:D82),""),IF(AND(YEAR(A82)=2004,YEAR(A83)=2005),SUM(D$12:D82,D83*(Q$8-A82)/(A83-A82)),"")))</f>
        <v/>
      </c>
      <c r="R81" s="67" t="str">
        <f>IF(A82="","",IF(A83="",IF(YEAR(A82)=2005,SUM(D$12:D82),""),IF(AND(YEAR(A82)=2005,YEAR(A83)=2006),SUM(D$12:D82,D83*(R$8-A82)/(A83-A82)),"")))</f>
        <v/>
      </c>
      <c r="S81" s="67" t="str">
        <f>IF(A82="","",IF(A83="",IF(YEAR(A82)=2006,SUM(D$12:D82),""),IF(AND(YEAR(A82)=2006,YEAR(A83)=2007),SUM(D$12:D82,D83*(S$8-A82)/(A83-A82)),"")))</f>
        <v/>
      </c>
      <c r="T81" s="67" t="str">
        <f>IF(A82="","",IF(A83="",IF(YEAR(A82)=2007,SUM(D$12:D82),""),IF(AND(YEAR(A82)=2007,YEAR(A83)=2008),SUM(D$12:D82,D83*(T$8-A82)/(A83-A82)),"")))</f>
        <v/>
      </c>
      <c r="U81" s="67" t="str">
        <f>IF(A82="","",IF(A83="",IF(YEAR(A82)=2008,SUM(D$12:D82),""),IF(AND(YEAR(A82)=2008,YEAR(A83)=2009),SUM(D$12:D82,D83*(U$8-A82)/(A83-A82)),"")))</f>
        <v/>
      </c>
      <c r="V81" s="67" t="str">
        <f>IF(A82="","",IF(A83="",IF(YEAR(A82)=2009,SUM(D$12:D82),""),IF(AND(YEAR(A82)=2009,YEAR(A83)=2010),SUM(D$12:D82,D83*(V$8-A82)/(A83-A82)),"")))</f>
        <v/>
      </c>
      <c r="W81" s="67" t="str">
        <f>IF(A82="","",IF(A83="",IF(YEAR(A82)=2010,SUM(D$12:D82),""),IF(AND(YEAR(A82)=2010,YEAR(A83)=2011),SUM(D$12:D82,D83*(W$8-A82)/(A83-A82)),"")))</f>
        <v/>
      </c>
      <c r="X81" s="67" t="str">
        <f>IF(A82="","",IF(A83="",IF(YEAR(A82)=2011,SUM(D$12:D82),""),IF(AND(YEAR(A82)=2011,YEAR(A83)=2012),SUM(D$12:D82,D83*(X$8-A82)/(A83-A82)),"")))</f>
        <v/>
      </c>
      <c r="Y81" s="72" t="str">
        <f>IF(A82="","",IF(A83="",IF(YEAR(A82)=2012,SUM(D$12:D82),""),IF(AND(YEAR(A82)=2012,YEAR(A83)=2013),SUM(D$12:D82,D83*(Y$8-A82)/(A83-A82)),"")))</f>
        <v/>
      </c>
      <c r="Z81" s="67" t="str">
        <f>IF($A82="","",IF($A83="",IF(YEAR($A82)=2002,SUM($J$12:$J82),""),IF(AND(YEAR($A82)=2002,YEAR($A83)=2003),SUM($J$12:$J82,$J83*(O$8-$A82)/($A83-$A82)),"")))</f>
        <v/>
      </c>
      <c r="AA81" s="67" t="str">
        <f>IF($A82="","",IF($A83="",IF(YEAR($A82)=2003,SUM($J$12:$J82),""),IF(AND(YEAR($A82)=2003,YEAR($A83)=2004),SUM($J$12:$J82,$J83*(P$8-$A82)/($A83-$A82)),"")))</f>
        <v/>
      </c>
      <c r="AB81" s="67" t="str">
        <f>IF($A82="","",IF($A83="",IF(YEAR($A82)=2004,SUM($J$12:$J82),""),IF(AND(YEAR($A82)=2004,YEAR($A83)=2005),SUM($J$12:$J82,$J83*(Q$8-$A82)/($A83-$A82)),"")))</f>
        <v/>
      </c>
      <c r="AC81" s="67" t="str">
        <f>IF($A82="","",IF($A83="",IF(YEAR($A82)=2005,SUM($J$12:$J82),""),IF(AND(YEAR($A82)=2005,YEAR($A83)=2006),SUM($J$12:$J82,$J83*(R$8-$A82)/($A83-$A82)),"")))</f>
        <v/>
      </c>
      <c r="AD81" s="67" t="str">
        <f>IF($A82="","",IF($A83="",IF(YEAR($A82)=2006,SUM($J$12:$J82),""),IF(AND(YEAR($A82)=2006,YEAR($A83)=2007),SUM($J$12:$J82,$J83*(S$8-$A82)/($A83-$A82)),"")))</f>
        <v/>
      </c>
      <c r="AE81" s="67" t="str">
        <f>IF($A82="","",IF($A83="",IF(YEAR($A82)=2007,SUM($J$12:$J82),""),IF(AND(YEAR($A82)=2007,YEAR($A83)=2008),SUM($J$12:$J82,$J83*(T$8-$A82)/($A83-$A82)),"")))</f>
        <v/>
      </c>
      <c r="AF81" s="67" t="str">
        <f>IF($A82="","",IF($A83="",IF(YEAR($A82)=2008,SUM($J$12:$J82),""),IF(AND(YEAR($A82)=2008,YEAR($A83)=2009),SUM($J$12:$J82,$J83*(U$8-$A82)/($A83-$A82)),"")))</f>
        <v/>
      </c>
      <c r="AG81" s="67" t="str">
        <f>IF($A82="","",IF($A83="",IF(YEAR($A82)=2009,SUM($J$12:$J82),""),IF(AND(YEAR($A82)=2009,YEAR($A83)=2010),SUM($J$12:$J82,$J83*(V$8-$A82)/($A83-$A82)),"")))</f>
        <v/>
      </c>
      <c r="AH81" s="67" t="str">
        <f>IF($A82="","",IF($A83="",IF(YEAR($A82)=2010,SUM($J$12:$J82),""),IF(AND(YEAR($A82)=2010,YEAR($A83)=2011),SUM($J$12:$J82,$J83*(W$8-$A82)/($A83-$A82)),"")))</f>
        <v/>
      </c>
      <c r="AI81" s="67" t="str">
        <f>IF($A82="","",IF($A83="",IF(YEAR($A82)=2011,SUM($J$12:$J82),""),IF(AND(YEAR($A82)=2011,YEAR($A83)=2012),SUM($J$12:$J82,$J83*(X$8-$A82)/($A83-$A82)),"")))</f>
        <v/>
      </c>
      <c r="AJ81" s="67" t="str">
        <f>IF($A82="","",IF($A83="",IF(YEAR($A82)=2012,SUM($J$12:$J82),""),IF(AND(YEAR($A82)=2012,YEAR($A83)=2013),SUM($J$12:$J82,$J83*(Y$8-$A82)/($A83-$A82)),"")))</f>
        <v/>
      </c>
    </row>
    <row r="82" spans="1:36" x14ac:dyDescent="0.2">
      <c r="A82" s="309" t="str">
        <f t="shared" si="3"/>
        <v/>
      </c>
      <c r="B82" s="168" t="str">
        <f>IF($E$5*$E$7&lt;70," ",70)</f>
        <v xml:space="preserve"> </v>
      </c>
      <c r="C82" s="201" t="str">
        <f>IF(AND(B80=" ",B81=" ",B82=" ")," ",IF(B81=" ",SUM(C$13:C80),IF(B82=" "," ",D82+E82)))</f>
        <v xml:space="preserve"> </v>
      </c>
      <c r="D82" s="201" t="str">
        <f>IF(AND(B80=" ",B81=" ",B82=" ")," ",IF(B81=" ",SUM(D$13:D80),IF(B82=" "," ",ROUND(F81*E$6/E$7,2))))</f>
        <v xml:space="preserve"> </v>
      </c>
      <c r="E82" s="201" t="str">
        <f>IF(AND(B80=" ",B81=" ",B82=" ")," ",IF(B81=" ",SUM(E$13:E80),IF(B82=" "," ",E$8)))</f>
        <v xml:space="preserve"> </v>
      </c>
      <c r="F82" s="201" t="str">
        <f>IF(AND(B80=" ",B81=" ",B82=" ")," ",IF(B81=" ",SUM(F$12:F79),IF(B82=" "," ",F81-E82)))</f>
        <v xml:space="preserve"> </v>
      </c>
      <c r="G82" s="201" t="str">
        <f>IF(AND(B80=" ",B81=" ",B82=" ")," ",IF(B81=" ",SUM(G$12:G80),IF(B83=" ",IF(E$5*E$7=B82,C82-C$7+C$8+G$10," "),C82)))</f>
        <v xml:space="preserve"> </v>
      </c>
      <c r="H82" s="204" t="str">
        <f>IF(AND(B80=" ",B81=" ",B82=" ")," ",IF(B81=" ",SUM(H$13:H80)*E$7,IF(B82=" "," ",IF(B83=" ",IF(E$5*E$7=B82,IRR(G$12:G82,0.01)," ")," "))))</f>
        <v xml:space="preserve"> </v>
      </c>
      <c r="I82" s="202" t="str">
        <f t="shared" si="4"/>
        <v/>
      </c>
      <c r="J82" s="202" t="str">
        <f t="shared" si="5"/>
        <v/>
      </c>
      <c r="K82" s="55"/>
      <c r="L82" s="56"/>
      <c r="O82" s="67"/>
      <c r="P82" s="67" t="str">
        <f>IF($A83="","",IF($A84="",IF(YEAR($A83)=2003,SUM($D$12:$D83),""),IF(AND(YEAR($A83)=2003,YEAR($A84)=2004),SUM($D$12:$D83,$D84*(P$8-$A83)/($A84-$A83)),"")))</f>
        <v/>
      </c>
      <c r="Q82" s="67" t="str">
        <f>IF(A83="","",IF(A84="",IF(YEAR(A83)=2004,SUM(D$12:D83),""),IF(AND(YEAR(A83)=2004,YEAR(A84)=2005),SUM(D$12:D83,D84*(Q$8-A83)/(A84-A83)),"")))</f>
        <v/>
      </c>
      <c r="R82" s="67" t="str">
        <f>IF(A83="","",IF(A84="",IF(YEAR(A83)=2005,SUM(D$12:D83),""),IF(AND(YEAR(A83)=2005,YEAR(A84)=2006),SUM(D$12:D83,D84*(R$8-A83)/(A84-A83)),"")))</f>
        <v/>
      </c>
      <c r="S82" s="67" t="str">
        <f>IF(A83="","",IF(A84="",IF(YEAR(A83)=2006,SUM(D$12:D83),""),IF(AND(YEAR(A83)=2006,YEAR(A84)=2007),SUM(D$12:D83,D84*(S$8-A83)/(A84-A83)),"")))</f>
        <v/>
      </c>
      <c r="T82" s="67" t="str">
        <f>IF(A83="","",IF(A84="",IF(YEAR(A83)=2007,SUM(D$12:D83),""),IF(AND(YEAR(A83)=2007,YEAR(A84)=2008),SUM(D$12:D83,D84*(T$8-A83)/(A84-A83)),"")))</f>
        <v/>
      </c>
      <c r="U82" s="67" t="str">
        <f>IF(A83="","",IF(A84="",IF(YEAR(A83)=2008,SUM(D$12:D83),""),IF(AND(YEAR(A83)=2008,YEAR(A84)=2009),SUM(D$12:D83,D84*(U$8-A83)/(A84-A83)),"")))</f>
        <v/>
      </c>
      <c r="V82" s="67" t="str">
        <f>IF(A83="","",IF(A84="",IF(YEAR(A83)=2009,SUM(D$12:D83),""),IF(AND(YEAR(A83)=2009,YEAR(A84)=2010),SUM(D$12:D83,D84*(V$8-A83)/(A84-A83)),"")))</f>
        <v/>
      </c>
      <c r="W82" s="67" t="str">
        <f>IF(A83="","",IF(A84="",IF(YEAR(A83)=2010,SUM(D$12:D83),""),IF(AND(YEAR(A83)=2010,YEAR(A84)=2011),SUM(D$12:D83,D84*(W$8-A83)/(A84-A83)),"")))</f>
        <v/>
      </c>
      <c r="X82" s="67" t="str">
        <f>IF(A83="","",IF(A84="",IF(YEAR(A83)=2011,SUM(D$12:D83),""),IF(AND(YEAR(A83)=2011,YEAR(A84)=2012),SUM(D$12:D83,D84*(X$8-A83)/(A84-A83)),"")))</f>
        <v/>
      </c>
      <c r="Y82" s="72" t="str">
        <f>IF(A83="","",IF(A84="",IF(YEAR(A83)=2012,SUM(D$12:D83),""),IF(AND(YEAR(A83)=2012,YEAR(A84)=2013),SUM(D$12:D83,D84*(Y$8-A83)/(A84-A83)),"")))</f>
        <v/>
      </c>
      <c r="Z82" s="67" t="str">
        <f>IF($A83="","",IF($A84="",IF(YEAR($A83)=2002,SUM($J$12:$J83),""),IF(AND(YEAR($A83)=2002,YEAR($A84)=2003),SUM($J$12:$J83,$J84*(O$8-$A83)/($A84-$A83)),"")))</f>
        <v/>
      </c>
      <c r="AA82" s="67" t="str">
        <f>IF($A83="","",IF($A84="",IF(YEAR($A83)=2003,SUM($J$12:$J83),""),IF(AND(YEAR($A83)=2003,YEAR($A84)=2004),SUM($J$12:$J83,$J84*(P$8-$A83)/($A84-$A83)),"")))</f>
        <v/>
      </c>
      <c r="AB82" s="67" t="str">
        <f>IF($A83="","",IF($A84="",IF(YEAR($A83)=2004,SUM($J$12:$J83),""),IF(AND(YEAR($A83)=2004,YEAR($A84)=2005),SUM($J$12:$J83,$J84*(Q$8-$A83)/($A84-$A83)),"")))</f>
        <v/>
      </c>
      <c r="AC82" s="67" t="str">
        <f>IF($A83="","",IF($A84="",IF(YEAR($A83)=2005,SUM($J$12:$J83),""),IF(AND(YEAR($A83)=2005,YEAR($A84)=2006),SUM($J$12:$J83,$J84*(R$8-$A83)/($A84-$A83)),"")))</f>
        <v/>
      </c>
      <c r="AD82" s="67" t="str">
        <f>IF($A83="","",IF($A84="",IF(YEAR($A83)=2006,SUM($J$12:$J83),""),IF(AND(YEAR($A83)=2006,YEAR($A84)=2007),SUM($J$12:$J83,$J84*(S$8-$A83)/($A84-$A83)),"")))</f>
        <v/>
      </c>
      <c r="AE82" s="67" t="str">
        <f>IF($A83="","",IF($A84="",IF(YEAR($A83)=2007,SUM($J$12:$J83),""),IF(AND(YEAR($A83)=2007,YEAR($A84)=2008),SUM($J$12:$J83,$J84*(T$8-$A83)/($A84-$A83)),"")))</f>
        <v/>
      </c>
      <c r="AF82" s="67" t="str">
        <f>IF($A83="","",IF($A84="",IF(YEAR($A83)=2008,SUM($J$12:$J83),""),IF(AND(YEAR($A83)=2008,YEAR($A84)=2009),SUM($J$12:$J83,$J84*(U$8-$A83)/($A84-$A83)),"")))</f>
        <v/>
      </c>
      <c r="AG82" s="67" t="str">
        <f>IF($A83="","",IF($A84="",IF(YEAR($A83)=2009,SUM($J$12:$J83),""),IF(AND(YEAR($A83)=2009,YEAR($A84)=2010),SUM($J$12:$J83,$J84*(V$8-$A83)/($A84-$A83)),"")))</f>
        <v/>
      </c>
      <c r="AH82" s="67" t="str">
        <f>IF($A83="","",IF($A84="",IF(YEAR($A83)=2010,SUM($J$12:$J83),""),IF(AND(YEAR($A83)=2010,YEAR($A84)=2011),SUM($J$12:$J83,$J84*(W$8-$A83)/($A84-$A83)),"")))</f>
        <v/>
      </c>
      <c r="AI82" s="67" t="str">
        <f>IF($A83="","",IF($A84="",IF(YEAR($A83)=2011,SUM($J$12:$J83),""),IF(AND(YEAR($A83)=2011,YEAR($A84)=2012),SUM($J$12:$J83,$J84*(X$8-$A83)/($A84-$A83)),"")))</f>
        <v/>
      </c>
      <c r="AJ82" s="67" t="str">
        <f>IF($A83="","",IF($A84="",IF(YEAR($A83)=2012,SUM($J$12:$J83),""),IF(AND(YEAR($A83)=2012,YEAR($A84)=2013),SUM($J$12:$J83,$J84*(Y$8-$A83)/($A84-$A83)),"")))</f>
        <v/>
      </c>
    </row>
    <row r="83" spans="1:36" x14ac:dyDescent="0.2">
      <c r="A83" s="309" t="str">
        <f t="shared" si="3"/>
        <v/>
      </c>
      <c r="B83" s="168" t="str">
        <f>IF($E$5*$E$7&lt;71," ",71)</f>
        <v xml:space="preserve"> </v>
      </c>
      <c r="C83" s="201" t="str">
        <f>IF(AND(B81=" ",B82=" ",B83=" ")," ",IF(B82=" ",SUM(C$13:C81),IF(B83=" "," ",D83+E83)))</f>
        <v xml:space="preserve"> </v>
      </c>
      <c r="D83" s="201" t="str">
        <f>IF(AND(B81=" ",B82=" ",B83=" ")," ",IF(B82=" ",SUM(D$13:D81),IF(B83=" "," ",ROUND(F82*E$6/E$7,2))))</f>
        <v xml:space="preserve"> </v>
      </c>
      <c r="E83" s="201" t="str">
        <f>IF(AND(B81=" ",B82=" ",B83=" ")," ",IF(B82=" ",SUM(E$13:E81),IF(B83=" "," ",E$8)))</f>
        <v xml:space="preserve"> </v>
      </c>
      <c r="F83" s="201" t="str">
        <f>IF(AND(B81=" ",B82=" ",B83=" ")," ",IF(B82=" ",SUM(F$12:F80),IF(B83=" "," ",F82-E83)))</f>
        <v xml:space="preserve"> </v>
      </c>
      <c r="G83" s="201" t="str">
        <f>IF(AND(B81=" ",B82=" ",B83=" ")," ",IF(B82=" ",SUM(G$12:G81),IF(B84=" ",IF(E$5*E$7=B83,C83-C$7+C$8+G$10," "),C83)))</f>
        <v xml:space="preserve"> </v>
      </c>
      <c r="H83" s="204" t="str">
        <f>IF(AND(B81=" ",B82=" ",B83=" ")," ",IF(B82=" ",SUM(H$13:H81)*E$7,IF(B83=" "," ",IF(B84=" ",IF(E$5*E$7=B83,IRR(G$12:G83,0.01)," ")," "))))</f>
        <v xml:space="preserve"> </v>
      </c>
      <c r="I83" s="202" t="str">
        <f t="shared" si="4"/>
        <v/>
      </c>
      <c r="J83" s="202" t="str">
        <f t="shared" si="5"/>
        <v/>
      </c>
      <c r="K83" s="55"/>
      <c r="L83" s="56"/>
      <c r="O83" s="67"/>
      <c r="P83" s="67" t="str">
        <f>IF($A84="","",IF($A85="",IF(YEAR($A84)=2003,SUM($D$12:$D84),""),IF(AND(YEAR($A84)=2003,YEAR($A85)=2004),SUM($D$12:$D84,$D85*(P$8-$A84)/($A85-$A84)),"")))</f>
        <v/>
      </c>
      <c r="Q83" s="67" t="str">
        <f>IF(A84="","",IF(A85="",IF(YEAR(A84)=2004,SUM(D$12:D84),""),IF(AND(YEAR(A84)=2004,YEAR(A85)=2005),SUM(D$12:D84,D85*(Q$8-A84)/(A85-A84)),"")))</f>
        <v/>
      </c>
      <c r="R83" s="67" t="str">
        <f>IF(A84="","",IF(A85="",IF(YEAR(A84)=2005,SUM(D$12:D84),""),IF(AND(YEAR(A84)=2005,YEAR(A85)=2006),SUM(D$12:D84,D85*(R$8-A84)/(A85-A84)),"")))</f>
        <v/>
      </c>
      <c r="S83" s="67" t="str">
        <f>IF(A84="","",IF(A85="",IF(YEAR(A84)=2006,SUM(D$12:D84),""),IF(AND(YEAR(A84)=2006,YEAR(A85)=2007),SUM(D$12:D84,D85*(S$8-A84)/(A85-A84)),"")))</f>
        <v/>
      </c>
      <c r="T83" s="67" t="str">
        <f>IF(A84="","",IF(A85="",IF(YEAR(A84)=2007,SUM(D$12:D84),""),IF(AND(YEAR(A84)=2007,YEAR(A85)=2008),SUM(D$12:D84,D85*(T$8-A84)/(A85-A84)),"")))</f>
        <v/>
      </c>
      <c r="U83" s="67" t="str">
        <f>IF(A84="","",IF(A85="",IF(YEAR(A84)=2008,SUM(D$12:D84),""),IF(AND(YEAR(A84)=2008,YEAR(A85)=2009),SUM(D$12:D84,D85*(U$8-A84)/(A85-A84)),"")))</f>
        <v/>
      </c>
      <c r="V83" s="67" t="str">
        <f>IF(A84="","",IF(A85="",IF(YEAR(A84)=2009,SUM(D$12:D84),""),IF(AND(YEAR(A84)=2009,YEAR(A85)=2010),SUM(D$12:D84,D85*(V$8-A84)/(A85-A84)),"")))</f>
        <v/>
      </c>
      <c r="W83" s="67" t="str">
        <f>IF(A84="","",IF(A85="",IF(YEAR(A84)=2010,SUM(D$12:D84),""),IF(AND(YEAR(A84)=2010,YEAR(A85)=2011),SUM(D$12:D84,D85*(W$8-A84)/(A85-A84)),"")))</f>
        <v/>
      </c>
      <c r="X83" s="67" t="str">
        <f>IF(A84="","",IF(A85="",IF(YEAR(A84)=2011,SUM(D$12:D84),""),IF(AND(YEAR(A84)=2011,YEAR(A85)=2012),SUM(D$12:D84,D85*(X$8-A84)/(A85-A84)),"")))</f>
        <v/>
      </c>
      <c r="Y83" s="72" t="str">
        <f>IF(A84="","",IF(A85="",IF(YEAR(A84)=2012,SUM(D$12:D84),""),IF(AND(YEAR(A84)=2012,YEAR(A85)=2013),SUM(D$12:D84,D85*(Y$8-A84)/(A85-A84)),"")))</f>
        <v/>
      </c>
      <c r="Z83" s="67" t="str">
        <f>IF($A84="","",IF($A85="",IF(YEAR($A84)=2002,SUM($J$12:$J84),""),IF(AND(YEAR($A84)=2002,YEAR($A85)=2003),SUM($J$12:$J84,$J85*(O$8-$A84)/($A85-$A84)),"")))</f>
        <v/>
      </c>
      <c r="AA83" s="67" t="str">
        <f>IF($A84="","",IF($A85="",IF(YEAR($A84)=2003,SUM($J$12:$J84),""),IF(AND(YEAR($A84)=2003,YEAR($A85)=2004),SUM($J$12:$J84,$J85*(P$8-$A84)/($A85-$A84)),"")))</f>
        <v/>
      </c>
      <c r="AB83" s="67" t="str">
        <f>IF($A84="","",IF($A85="",IF(YEAR($A84)=2004,SUM($J$12:$J84),""),IF(AND(YEAR($A84)=2004,YEAR($A85)=2005),SUM($J$12:$J84,$J85*(Q$8-$A84)/($A85-$A84)),"")))</f>
        <v/>
      </c>
      <c r="AC83" s="67" t="str">
        <f>IF($A84="","",IF($A85="",IF(YEAR($A84)=2005,SUM($J$12:$J84),""),IF(AND(YEAR($A84)=2005,YEAR($A85)=2006),SUM($J$12:$J84,$J85*(R$8-$A84)/($A85-$A84)),"")))</f>
        <v/>
      </c>
      <c r="AD83" s="67" t="str">
        <f>IF($A84="","",IF($A85="",IF(YEAR($A84)=2006,SUM($J$12:$J84),""),IF(AND(YEAR($A84)=2006,YEAR($A85)=2007),SUM($J$12:$J84,$J85*(S$8-$A84)/($A85-$A84)),"")))</f>
        <v/>
      </c>
      <c r="AE83" s="67" t="str">
        <f>IF($A84="","",IF($A85="",IF(YEAR($A84)=2007,SUM($J$12:$J84),""),IF(AND(YEAR($A84)=2007,YEAR($A85)=2008),SUM($J$12:$J84,$J85*(T$8-$A84)/($A85-$A84)),"")))</f>
        <v/>
      </c>
      <c r="AF83" s="67" t="str">
        <f>IF($A84="","",IF($A85="",IF(YEAR($A84)=2008,SUM($J$12:$J84),""),IF(AND(YEAR($A84)=2008,YEAR($A85)=2009),SUM($J$12:$J84,$J85*(U$8-$A84)/($A85-$A84)),"")))</f>
        <v/>
      </c>
      <c r="AG83" s="67" t="str">
        <f>IF($A84="","",IF($A85="",IF(YEAR($A84)=2009,SUM($J$12:$J84),""),IF(AND(YEAR($A84)=2009,YEAR($A85)=2010),SUM($J$12:$J84,$J85*(V$8-$A84)/($A85-$A84)),"")))</f>
        <v/>
      </c>
      <c r="AH83" s="67" t="str">
        <f>IF($A84="","",IF($A85="",IF(YEAR($A84)=2010,SUM($J$12:$J84),""),IF(AND(YEAR($A84)=2010,YEAR($A85)=2011),SUM($J$12:$J84,$J85*(W$8-$A84)/($A85-$A84)),"")))</f>
        <v/>
      </c>
      <c r="AI83" s="67" t="str">
        <f>IF($A84="","",IF($A85="",IF(YEAR($A84)=2011,SUM($J$12:$J84),""),IF(AND(YEAR($A84)=2011,YEAR($A85)=2012),SUM($J$12:$J84,$J85*(X$8-$A84)/($A85-$A84)),"")))</f>
        <v/>
      </c>
      <c r="AJ83" s="67" t="str">
        <f>IF($A84="","",IF($A85="",IF(YEAR($A84)=2012,SUM($J$12:$J84),""),IF(AND(YEAR($A84)=2012,YEAR($A85)=2013),SUM($J$12:$J84,$J85*(Y$8-$A84)/($A85-$A84)),"")))</f>
        <v/>
      </c>
    </row>
    <row r="84" spans="1:36" x14ac:dyDescent="0.2">
      <c r="A84" s="309" t="str">
        <f t="shared" si="3"/>
        <v/>
      </c>
      <c r="B84" s="168" t="str">
        <f>IF($E$5*$E$7&lt;72," ",72)</f>
        <v xml:space="preserve"> </v>
      </c>
      <c r="C84" s="201" t="str">
        <f>IF(AND(B82=" ",B83=" ",B84=" ")," ",IF(B83=" ",SUM(C$13:C82),IF(B84=" "," ",D84+E84)))</f>
        <v xml:space="preserve"> </v>
      </c>
      <c r="D84" s="201" t="str">
        <f>IF(AND(B82=" ",B83=" ",B84=" ")," ",IF(B83=" ",SUM(D$13:D82),IF(B84=" "," ",ROUND(F83*E$6/E$7,2))))</f>
        <v xml:space="preserve"> </v>
      </c>
      <c r="E84" s="201" t="str">
        <f>IF(AND(B82=" ",B83=" ",B84=" ")," ",IF(B83=" ",SUM(E$13:E82),IF(B84=" "," ",E$8)))</f>
        <v xml:space="preserve"> </v>
      </c>
      <c r="F84" s="201" t="str">
        <f>IF(AND(B82=" ",B83=" ",B84=" ")," ",IF(B83=" ",SUM(F$12:F81),IF(B84=" "," ",F83-E84)))</f>
        <v xml:space="preserve"> </v>
      </c>
      <c r="G84" s="201" t="str">
        <f>IF(AND(B82=" ",B83=" ",B84=" ")," ",IF(B83=" ",SUM(G$12:G82),IF(B85=" ",IF(E$5*E$7=B84,C84-C$7+C$8+G$10," "),C84)))</f>
        <v xml:space="preserve"> </v>
      </c>
      <c r="H84" s="204" t="str">
        <f>IF(AND(B82=" ",B83=" ",B84=" ")," ",IF(B83=" ",SUM(H$13:H82)*E$7,IF(B84=" "," ",IF(B85=" ",IF(E$5*E$7=B84,IRR(G$12:G84,0.01)," ")," "))))</f>
        <v xml:space="preserve"> </v>
      </c>
      <c r="I84" s="202" t="str">
        <f t="shared" si="4"/>
        <v/>
      </c>
      <c r="J84" s="202" t="str">
        <f t="shared" si="5"/>
        <v/>
      </c>
      <c r="K84" s="55"/>
      <c r="L84" s="56"/>
      <c r="O84" s="67"/>
      <c r="P84" s="67" t="str">
        <f>IF($A85="","",IF($A86="",IF(YEAR($A85)=2003,SUM($D$12:$D85),""),IF(AND(YEAR($A85)=2003,YEAR($A86)=2004),SUM($D$12:$D85,$D86*(P$8-$A85)/($A86-$A85)),"")))</f>
        <v/>
      </c>
      <c r="Q84" s="67" t="str">
        <f>IF(A85="","",IF(A86="",IF(YEAR(A85)=2004,SUM(D$12:D85),""),IF(AND(YEAR(A85)=2004,YEAR(A86)=2005),SUM(D$12:D85,D86*(Q$8-A85)/(A86-A85)),"")))</f>
        <v/>
      </c>
      <c r="R84" s="67" t="str">
        <f>IF(A85="","",IF(A86="",IF(YEAR(A85)=2005,SUM(D$12:D85),""),IF(AND(YEAR(A85)=2005,YEAR(A86)=2006),SUM(D$12:D85,D86*(R$8-A85)/(A86-A85)),"")))</f>
        <v/>
      </c>
      <c r="S84" s="67" t="str">
        <f>IF(A85="","",IF(A86="",IF(YEAR(A85)=2006,SUM(D$12:D85),""),IF(AND(YEAR(A85)=2006,YEAR(A86)=2007),SUM(D$12:D85,D86*(S$8-A85)/(A86-A85)),"")))</f>
        <v/>
      </c>
      <c r="T84" s="67" t="str">
        <f>IF(A85="","",IF(A86="",IF(YEAR(A85)=2007,SUM(D$12:D85),""),IF(AND(YEAR(A85)=2007,YEAR(A86)=2008),SUM(D$12:D85,D86*(T$8-A85)/(A86-A85)),"")))</f>
        <v/>
      </c>
      <c r="U84" s="67" t="str">
        <f>IF(A85="","",IF(A86="",IF(YEAR(A85)=2008,SUM(D$12:D85),""),IF(AND(YEAR(A85)=2008,YEAR(A86)=2009),SUM(D$12:D85,D86*(U$8-A85)/(A86-A85)),"")))</f>
        <v/>
      </c>
      <c r="V84" s="67" t="str">
        <f>IF(A85="","",IF(A86="",IF(YEAR(A85)=2009,SUM(D$12:D85),""),IF(AND(YEAR(A85)=2009,YEAR(A86)=2010),SUM(D$12:D85,D86*(V$8-A85)/(A86-A85)),"")))</f>
        <v/>
      </c>
      <c r="W84" s="67" t="str">
        <f>IF(A85="","",IF(A86="",IF(YEAR(A85)=2010,SUM(D$12:D85),""),IF(AND(YEAR(A85)=2010,YEAR(A86)=2011),SUM(D$12:D85,D86*(W$8-A85)/(A86-A85)),"")))</f>
        <v/>
      </c>
      <c r="X84" s="67" t="str">
        <f>IF(A85="","",IF(A86="",IF(YEAR(A85)=2011,SUM(D$12:D85),""),IF(AND(YEAR(A85)=2011,YEAR(A86)=2012),SUM(D$12:D85,D86*(X$8-A85)/(A86-A85)),"")))</f>
        <v/>
      </c>
      <c r="Y84" s="72" t="str">
        <f>IF(A85="","",IF(A86="",IF(YEAR(A85)=2012,SUM(D$12:D85),""),IF(AND(YEAR(A85)=2012,YEAR(A86)=2013),SUM(D$12:D85,D86*(Y$8-A85)/(A86-A85)),"")))</f>
        <v/>
      </c>
      <c r="Z84" s="67" t="str">
        <f>IF($A85="","",IF($A86="",IF(YEAR($A85)=2002,SUM($J$12:$J85),""),IF(AND(YEAR($A85)=2002,YEAR($A86)=2003),SUM($J$12:$J85,$J86*(O$8-$A85)/($A86-$A85)),"")))</f>
        <v/>
      </c>
      <c r="AA84" s="67" t="str">
        <f>IF($A85="","",IF($A86="",IF(YEAR($A85)=2003,SUM($J$12:$J85),""),IF(AND(YEAR($A85)=2003,YEAR($A86)=2004),SUM($J$12:$J85,$J86*(P$8-$A85)/($A86-$A85)),"")))</f>
        <v/>
      </c>
      <c r="AB84" s="67" t="str">
        <f>IF($A85="","",IF($A86="",IF(YEAR($A85)=2004,SUM($J$12:$J85),""),IF(AND(YEAR($A85)=2004,YEAR($A86)=2005),SUM($J$12:$J85,$J86*(Q$8-$A85)/($A86-$A85)),"")))</f>
        <v/>
      </c>
      <c r="AC84" s="67" t="str">
        <f>IF($A85="","",IF($A86="",IF(YEAR($A85)=2005,SUM($J$12:$J85),""),IF(AND(YEAR($A85)=2005,YEAR($A86)=2006),SUM($J$12:$J85,$J86*(R$8-$A85)/($A86-$A85)),"")))</f>
        <v/>
      </c>
      <c r="AD84" s="67" t="str">
        <f>IF($A85="","",IF($A86="",IF(YEAR($A85)=2006,SUM($J$12:$J85),""),IF(AND(YEAR($A85)=2006,YEAR($A86)=2007),SUM($J$12:$J85,$J86*(S$8-$A85)/($A86-$A85)),"")))</f>
        <v/>
      </c>
      <c r="AE84" s="67" t="str">
        <f>IF($A85="","",IF($A86="",IF(YEAR($A85)=2007,SUM($J$12:$J85),""),IF(AND(YEAR($A85)=2007,YEAR($A86)=2008),SUM($J$12:$J85,$J86*(T$8-$A85)/($A86-$A85)),"")))</f>
        <v/>
      </c>
      <c r="AF84" s="67" t="str">
        <f>IF($A85="","",IF($A86="",IF(YEAR($A85)=2008,SUM($J$12:$J85),""),IF(AND(YEAR($A85)=2008,YEAR($A86)=2009),SUM($J$12:$J85,$J86*(U$8-$A85)/($A86-$A85)),"")))</f>
        <v/>
      </c>
      <c r="AG84" s="67" t="str">
        <f>IF($A85="","",IF($A86="",IF(YEAR($A85)=2009,SUM($J$12:$J85),""),IF(AND(YEAR($A85)=2009,YEAR($A86)=2010),SUM($J$12:$J85,$J86*(V$8-$A85)/($A86-$A85)),"")))</f>
        <v/>
      </c>
      <c r="AH84" s="67" t="str">
        <f>IF($A85="","",IF($A86="",IF(YEAR($A85)=2010,SUM($J$12:$J85),""),IF(AND(YEAR($A85)=2010,YEAR($A86)=2011),SUM($J$12:$J85,$J86*(W$8-$A85)/($A86-$A85)),"")))</f>
        <v/>
      </c>
      <c r="AI84" s="67" t="str">
        <f>IF($A85="","",IF($A86="",IF(YEAR($A85)=2011,SUM($J$12:$J85),""),IF(AND(YEAR($A85)=2011,YEAR($A86)=2012),SUM($J$12:$J85,$J86*(X$8-$A85)/($A86-$A85)),"")))</f>
        <v/>
      </c>
      <c r="AJ84" s="67" t="str">
        <f>IF($A85="","",IF($A86="",IF(YEAR($A85)=2012,SUM($J$12:$J85),""),IF(AND(YEAR($A85)=2012,YEAR($A86)=2013),SUM($J$12:$J85,$J86*(Y$8-$A85)/($A86-$A85)),"")))</f>
        <v/>
      </c>
    </row>
    <row r="85" spans="1:36" x14ac:dyDescent="0.2">
      <c r="A85" s="309" t="str">
        <f t="shared" si="3"/>
        <v/>
      </c>
      <c r="B85" s="168" t="str">
        <f>IF($E$5*$E$7&lt;73," ",73)</f>
        <v xml:space="preserve"> </v>
      </c>
      <c r="C85" s="201" t="str">
        <f>IF(AND(B83=" ",B84=" ",B85=" ")," ",IF(B84=" ",SUM(C$13:C83),IF(B85=" "," ",D85+E85)))</f>
        <v xml:space="preserve"> </v>
      </c>
      <c r="D85" s="201" t="str">
        <f>IF(AND(B83=" ",B84=" ",B85=" ")," ",IF(B84=" ",SUM(D$13:D83),IF(B85=" "," ",ROUND(F84*E$6/E$7,2))))</f>
        <v xml:space="preserve"> </v>
      </c>
      <c r="E85" s="201" t="str">
        <f>IF(AND(B83=" ",B84=" ",B85=" ")," ",IF(B84=" ",SUM(E$13:E83),IF(B85=" "," ",E$8)))</f>
        <v xml:space="preserve"> </v>
      </c>
      <c r="F85" s="201" t="str">
        <f>IF(AND(B83=" ",B84=" ",B85=" ")," ",IF(B84=" ",SUM(F$12:F82),IF(B85=" "," ",F84-E85)))</f>
        <v xml:space="preserve"> </v>
      </c>
      <c r="G85" s="201" t="str">
        <f>IF(AND(B83=" ",B84=" ",B85=" ")," ",IF(B84=" ",SUM(G$12:G83),IF(B86=" ",IF(E$5*E$7=B85,C85-C$7+C$8+G$10," "),C85)))</f>
        <v xml:space="preserve"> </v>
      </c>
      <c r="H85" s="204" t="str">
        <f>IF(AND(B83=" ",B84=" ",B85=" ")," ",IF(B84=" ",SUM(H$13:H83)*E$7,IF(B85=" "," ",IF(B86=" ",IF(E$5*E$7=B85,IRR(G$12:G85,0.01)," ")," "))))</f>
        <v xml:space="preserve"> </v>
      </c>
      <c r="I85" s="202" t="str">
        <f t="shared" si="4"/>
        <v/>
      </c>
      <c r="J85" s="202" t="str">
        <f t="shared" si="5"/>
        <v/>
      </c>
      <c r="K85" s="55"/>
      <c r="L85" s="56"/>
      <c r="O85" s="67"/>
      <c r="P85" s="67" t="str">
        <f>IF($A86="","",IF($A87="",IF(YEAR($A86)=2003,SUM($D$12:$D86),""),IF(AND(YEAR($A86)=2003,YEAR($A87)=2004),SUM($D$12:$D86,$D87*(P$8-$A86)/($A87-$A86)),"")))</f>
        <v/>
      </c>
      <c r="Q85" s="67" t="str">
        <f>IF(A86="","",IF(A87="",IF(YEAR(A86)=2004,SUM(D$12:D86),""),IF(AND(YEAR(A86)=2004,YEAR(A87)=2005),SUM(D$12:D86,D87*(Q$8-A86)/(A87-A86)),"")))</f>
        <v/>
      </c>
      <c r="R85" s="67" t="str">
        <f>IF(A86="","",IF(A87="",IF(YEAR(A86)=2005,SUM(D$12:D86),""),IF(AND(YEAR(A86)=2005,YEAR(A87)=2006),SUM(D$12:D86,D87*(R$8-A86)/(A87-A86)),"")))</f>
        <v/>
      </c>
      <c r="S85" s="67" t="str">
        <f>IF(A86="","",IF(A87="",IF(YEAR(A86)=2006,SUM(D$12:D86),""),IF(AND(YEAR(A86)=2006,YEAR(A87)=2007),SUM(D$12:D86,D87*(S$8-A86)/(A87-A86)),"")))</f>
        <v/>
      </c>
      <c r="T85" s="67" t="str">
        <f>IF(A86="","",IF(A87="",IF(YEAR(A86)=2007,SUM(D$12:D86),""),IF(AND(YEAR(A86)=2007,YEAR(A87)=2008),SUM(D$12:D86,D87*(T$8-A86)/(A87-A86)),"")))</f>
        <v/>
      </c>
      <c r="U85" s="67" t="str">
        <f>IF(A86="","",IF(A87="",IF(YEAR(A86)=2008,SUM(D$12:D86),""),IF(AND(YEAR(A86)=2008,YEAR(A87)=2009),SUM(D$12:D86,D87*(U$8-A86)/(A87-A86)),"")))</f>
        <v/>
      </c>
      <c r="V85" s="67" t="str">
        <f>IF(A86="","",IF(A87="",IF(YEAR(A86)=2009,SUM(D$12:D86),""),IF(AND(YEAR(A86)=2009,YEAR(A87)=2010),SUM(D$12:D86,D87*(V$8-A86)/(A87-A86)),"")))</f>
        <v/>
      </c>
      <c r="W85" s="67" t="str">
        <f>IF(A86="","",IF(A87="",IF(YEAR(A86)=2010,SUM(D$12:D86),""),IF(AND(YEAR(A86)=2010,YEAR(A87)=2011),SUM(D$12:D86,D87*(W$8-A86)/(A87-A86)),"")))</f>
        <v/>
      </c>
      <c r="X85" s="67" t="str">
        <f>IF(A86="","",IF(A87="",IF(YEAR(A86)=2011,SUM(D$12:D86),""),IF(AND(YEAR(A86)=2011,YEAR(A87)=2012),SUM(D$12:D86,D87*(X$8-A86)/(A87-A86)),"")))</f>
        <v/>
      </c>
      <c r="Y85" s="72" t="str">
        <f>IF(A86="","",IF(A87="",IF(YEAR(A86)=2012,SUM(D$12:D86),""),IF(AND(YEAR(A86)=2012,YEAR(A87)=2013),SUM(D$12:D86,D87*(Y$8-A86)/(A87-A86)),"")))</f>
        <v/>
      </c>
      <c r="Z85" s="67" t="str">
        <f>IF($A86="","",IF($A87="",IF(YEAR($A86)=2002,SUM($J$12:$J86),""),IF(AND(YEAR($A86)=2002,YEAR($A87)=2003),SUM($J$12:$J86,$J87*(O$8-$A86)/($A87-$A86)),"")))</f>
        <v/>
      </c>
      <c r="AA85" s="67" t="str">
        <f>IF($A86="","",IF($A87="",IF(YEAR($A86)=2003,SUM($J$12:$J86),""),IF(AND(YEAR($A86)=2003,YEAR($A87)=2004),SUM($J$12:$J86,$J87*(P$8-$A86)/($A87-$A86)),"")))</f>
        <v/>
      </c>
      <c r="AB85" s="67" t="str">
        <f>IF($A86="","",IF($A87="",IF(YEAR($A86)=2004,SUM($J$12:$J86),""),IF(AND(YEAR($A86)=2004,YEAR($A87)=2005),SUM($J$12:$J86,$J87*(Q$8-$A86)/($A87-$A86)),"")))</f>
        <v/>
      </c>
      <c r="AC85" s="67" t="str">
        <f>IF($A86="","",IF($A87="",IF(YEAR($A86)=2005,SUM($J$12:$J86),""),IF(AND(YEAR($A86)=2005,YEAR($A87)=2006),SUM($J$12:$J86,$J87*(R$8-$A86)/($A87-$A86)),"")))</f>
        <v/>
      </c>
      <c r="AD85" s="67" t="str">
        <f>IF($A86="","",IF($A87="",IF(YEAR($A86)=2006,SUM($J$12:$J86),""),IF(AND(YEAR($A86)=2006,YEAR($A87)=2007),SUM($J$12:$J86,$J87*(S$8-$A86)/($A87-$A86)),"")))</f>
        <v/>
      </c>
      <c r="AE85" s="67" t="str">
        <f>IF($A86="","",IF($A87="",IF(YEAR($A86)=2007,SUM($J$12:$J86),""),IF(AND(YEAR($A86)=2007,YEAR($A87)=2008),SUM($J$12:$J86,$J87*(T$8-$A86)/($A87-$A86)),"")))</f>
        <v/>
      </c>
      <c r="AF85" s="67" t="str">
        <f>IF($A86="","",IF($A87="",IF(YEAR($A86)=2008,SUM($J$12:$J86),""),IF(AND(YEAR($A86)=2008,YEAR($A87)=2009),SUM($J$12:$J86,$J87*(U$8-$A86)/($A87-$A86)),"")))</f>
        <v/>
      </c>
      <c r="AG85" s="67" t="str">
        <f>IF($A86="","",IF($A87="",IF(YEAR($A86)=2009,SUM($J$12:$J86),""),IF(AND(YEAR($A86)=2009,YEAR($A87)=2010),SUM($J$12:$J86,$J87*(V$8-$A86)/($A87-$A86)),"")))</f>
        <v/>
      </c>
      <c r="AH85" s="67" t="str">
        <f>IF($A86="","",IF($A87="",IF(YEAR($A86)=2010,SUM($J$12:$J86),""),IF(AND(YEAR($A86)=2010,YEAR($A87)=2011),SUM($J$12:$J86,$J87*(W$8-$A86)/($A87-$A86)),"")))</f>
        <v/>
      </c>
      <c r="AI85" s="67" t="str">
        <f>IF($A86="","",IF($A87="",IF(YEAR($A86)=2011,SUM($J$12:$J86),""),IF(AND(YEAR($A86)=2011,YEAR($A87)=2012),SUM($J$12:$J86,$J87*(X$8-$A86)/($A87-$A86)),"")))</f>
        <v/>
      </c>
      <c r="AJ85" s="67" t="str">
        <f>IF($A86="","",IF($A87="",IF(YEAR($A86)=2012,SUM($J$12:$J86),""),IF(AND(YEAR($A86)=2012,YEAR($A87)=2013),SUM($J$12:$J86,$J87*(Y$8-$A86)/($A87-$A86)),"")))</f>
        <v/>
      </c>
    </row>
    <row r="86" spans="1:36" x14ac:dyDescent="0.2">
      <c r="A86" s="309" t="str">
        <f t="shared" si="3"/>
        <v/>
      </c>
      <c r="B86" s="168" t="str">
        <f>IF($E$5*$E$7&lt;74," ",74)</f>
        <v xml:space="preserve"> </v>
      </c>
      <c r="C86" s="201" t="str">
        <f>IF(AND(B84=" ",B85=" ",B86=" ")," ",IF(B85=" ",SUM(C$13:C84),IF(B86=" "," ",D86+E86)))</f>
        <v xml:space="preserve"> </v>
      </c>
      <c r="D86" s="201" t="str">
        <f>IF(AND(B84=" ",B85=" ",B86=" ")," ",IF(B85=" ",SUM(D$13:D84),IF(B86=" "," ",ROUND(F85*E$6/E$7,2))))</f>
        <v xml:space="preserve"> </v>
      </c>
      <c r="E86" s="201" t="str">
        <f>IF(AND(B84=" ",B85=" ",B86=" ")," ",IF(B85=" ",SUM(E$13:E84),IF(B86=" "," ",E$8)))</f>
        <v xml:space="preserve"> </v>
      </c>
      <c r="F86" s="201" t="str">
        <f>IF(AND(B84=" ",B85=" ",B86=" ")," ",IF(B85=" ",SUM(F$12:F83),IF(B86=" "," ",F85-E86)))</f>
        <v xml:space="preserve"> </v>
      </c>
      <c r="G86" s="201" t="str">
        <f>IF(AND(B84=" ",B85=" ",B86=" ")," ",IF(B85=" ",SUM(G$12:G84),IF(B87=" ",IF(E$5*E$7=B86,C86-C$7+C$8+G$10," "),C86)))</f>
        <v xml:space="preserve"> </v>
      </c>
      <c r="H86" s="204" t="str">
        <f>IF(AND(B84=" ",B85=" ",B86=" ")," ",IF(B85=" ",SUM(H$13:H84)*E$7,IF(B86=" "," ",IF(B87=" ",IF(E$5*E$7=B86,IRR(G$12:G86,0.01)," ")," "))))</f>
        <v xml:space="preserve"> </v>
      </c>
      <c r="I86" s="202" t="str">
        <f t="shared" si="4"/>
        <v/>
      </c>
      <c r="J86" s="202" t="str">
        <f t="shared" si="5"/>
        <v/>
      </c>
      <c r="K86" s="55"/>
      <c r="L86" s="56"/>
      <c r="O86" s="67"/>
      <c r="P86" s="67" t="str">
        <f>IF($A87="","",IF($A88="",IF(YEAR($A87)=2003,SUM($D$12:$D87),""),IF(AND(YEAR($A87)=2003,YEAR($A88)=2004),SUM($D$12:$D87,$D88*(P$8-$A87)/($A88-$A87)),"")))</f>
        <v/>
      </c>
      <c r="Q86" s="67" t="str">
        <f>IF(A87="","",IF(A88="",IF(YEAR(A87)=2004,SUM(D$12:D87),""),IF(AND(YEAR(A87)=2004,YEAR(A88)=2005),SUM(D$12:D87,D88*(Q$8-A87)/(A88-A87)),"")))</f>
        <v/>
      </c>
      <c r="R86" s="67" t="str">
        <f>IF(A87="","",IF(A88="",IF(YEAR(A87)=2005,SUM(D$12:D87),""),IF(AND(YEAR(A87)=2005,YEAR(A88)=2006),SUM(D$12:D87,D88*(R$8-A87)/(A88-A87)),"")))</f>
        <v/>
      </c>
      <c r="S86" s="67" t="str">
        <f>IF(A87="","",IF(A88="",IF(YEAR(A87)=2006,SUM(D$12:D87),""),IF(AND(YEAR(A87)=2006,YEAR(A88)=2007),SUM(D$12:D87,D88*(S$8-A87)/(A88-A87)),"")))</f>
        <v/>
      </c>
      <c r="T86" s="67" t="str">
        <f>IF(A87="","",IF(A88="",IF(YEAR(A87)=2007,SUM(D$12:D87),""),IF(AND(YEAR(A87)=2007,YEAR(A88)=2008),SUM(D$12:D87,D88*(T$8-A87)/(A88-A87)),"")))</f>
        <v/>
      </c>
      <c r="U86" s="67" t="str">
        <f>IF(A87="","",IF(A88="",IF(YEAR(A87)=2008,SUM(D$12:D87),""),IF(AND(YEAR(A87)=2008,YEAR(A88)=2009),SUM(D$12:D87,D88*(U$8-A87)/(A88-A87)),"")))</f>
        <v/>
      </c>
      <c r="V86" s="67" t="str">
        <f>IF(A87="","",IF(A88="",IF(YEAR(A87)=2009,SUM(D$12:D87),""),IF(AND(YEAR(A87)=2009,YEAR(A88)=2010),SUM(D$12:D87,D88*(V$8-A87)/(A88-A87)),"")))</f>
        <v/>
      </c>
      <c r="W86" s="67" t="str">
        <f>IF(A87="","",IF(A88="",IF(YEAR(A87)=2010,SUM(D$12:D87),""),IF(AND(YEAR(A87)=2010,YEAR(A88)=2011),SUM(D$12:D87,D88*(W$8-A87)/(A88-A87)),"")))</f>
        <v/>
      </c>
      <c r="X86" s="67" t="str">
        <f>IF(A87="","",IF(A88="",IF(YEAR(A87)=2011,SUM(D$12:D87),""),IF(AND(YEAR(A87)=2011,YEAR(A88)=2012),SUM(D$12:D87,D88*(X$8-A87)/(A88-A87)),"")))</f>
        <v/>
      </c>
      <c r="Y86" s="72" t="str">
        <f>IF(A87="","",IF(A88="",IF(YEAR(A87)=2012,SUM(D$12:D87),""),IF(AND(YEAR(A87)=2012,YEAR(A88)=2013),SUM(D$12:D87,D88*(Y$8-A87)/(A88-A87)),"")))</f>
        <v/>
      </c>
      <c r="Z86" s="67" t="str">
        <f>IF($A87="","",IF($A88="",IF(YEAR($A87)=2002,SUM($J$12:$J87),""),IF(AND(YEAR($A87)=2002,YEAR($A88)=2003),SUM($J$12:$J87,$J88*(O$8-$A87)/($A88-$A87)),"")))</f>
        <v/>
      </c>
      <c r="AA86" s="67" t="str">
        <f>IF($A87="","",IF($A88="",IF(YEAR($A87)=2003,SUM($J$12:$J87),""),IF(AND(YEAR($A87)=2003,YEAR($A88)=2004),SUM($J$12:$J87,$J88*(P$8-$A87)/($A88-$A87)),"")))</f>
        <v/>
      </c>
      <c r="AB86" s="67" t="str">
        <f>IF($A87="","",IF($A88="",IF(YEAR($A87)=2004,SUM($J$12:$J87),""),IF(AND(YEAR($A87)=2004,YEAR($A88)=2005),SUM($J$12:$J87,$J88*(Q$8-$A87)/($A88-$A87)),"")))</f>
        <v/>
      </c>
      <c r="AC86" s="67" t="str">
        <f>IF($A87="","",IF($A88="",IF(YEAR($A87)=2005,SUM($J$12:$J87),""),IF(AND(YEAR($A87)=2005,YEAR($A88)=2006),SUM($J$12:$J87,$J88*(R$8-$A87)/($A88-$A87)),"")))</f>
        <v/>
      </c>
      <c r="AD86" s="67" t="str">
        <f>IF($A87="","",IF($A88="",IF(YEAR($A87)=2006,SUM($J$12:$J87),""),IF(AND(YEAR($A87)=2006,YEAR($A88)=2007),SUM($J$12:$J87,$J88*(S$8-$A87)/($A88-$A87)),"")))</f>
        <v/>
      </c>
      <c r="AE86" s="67" t="str">
        <f>IF($A87="","",IF($A88="",IF(YEAR($A87)=2007,SUM($J$12:$J87),""),IF(AND(YEAR($A87)=2007,YEAR($A88)=2008),SUM($J$12:$J87,$J88*(T$8-$A87)/($A88-$A87)),"")))</f>
        <v/>
      </c>
      <c r="AF86" s="67" t="str">
        <f>IF($A87="","",IF($A88="",IF(YEAR($A87)=2008,SUM($J$12:$J87),""),IF(AND(YEAR($A87)=2008,YEAR($A88)=2009),SUM($J$12:$J87,$J88*(U$8-$A87)/($A88-$A87)),"")))</f>
        <v/>
      </c>
      <c r="AG86" s="67" t="str">
        <f>IF($A87="","",IF($A88="",IF(YEAR($A87)=2009,SUM($J$12:$J87),""),IF(AND(YEAR($A87)=2009,YEAR($A88)=2010),SUM($J$12:$J87,$J88*(V$8-$A87)/($A88-$A87)),"")))</f>
        <v/>
      </c>
      <c r="AH86" s="67" t="str">
        <f>IF($A87="","",IF($A88="",IF(YEAR($A87)=2010,SUM($J$12:$J87),""),IF(AND(YEAR($A87)=2010,YEAR($A88)=2011),SUM($J$12:$J87,$J88*(W$8-$A87)/($A88-$A87)),"")))</f>
        <v/>
      </c>
      <c r="AI86" s="67" t="str">
        <f>IF($A87="","",IF($A88="",IF(YEAR($A87)=2011,SUM($J$12:$J87),""),IF(AND(YEAR($A87)=2011,YEAR($A88)=2012),SUM($J$12:$J87,$J88*(X$8-$A87)/($A88-$A87)),"")))</f>
        <v/>
      </c>
      <c r="AJ86" s="67" t="str">
        <f>IF($A87="","",IF($A88="",IF(YEAR($A87)=2012,SUM($J$12:$J87),""),IF(AND(YEAR($A87)=2012,YEAR($A88)=2013),SUM($J$12:$J87,$J88*(Y$8-$A87)/($A88-$A87)),"")))</f>
        <v/>
      </c>
    </row>
    <row r="87" spans="1:36" x14ac:dyDescent="0.2">
      <c r="A87" s="309" t="str">
        <f t="shared" si="3"/>
        <v/>
      </c>
      <c r="B87" s="168" t="str">
        <f>IF($E$5*$E$7&lt;75," ",75)</f>
        <v xml:space="preserve"> </v>
      </c>
      <c r="C87" s="201" t="str">
        <f>IF(AND(B85=" ",B86=" ",B87=" ")," ",IF(B86=" ",SUM(C$13:C85),IF(B87=" "," ",D87+E87)))</f>
        <v xml:space="preserve"> </v>
      </c>
      <c r="D87" s="201" t="str">
        <f>IF(AND(B85=" ",B86=" ",B87=" ")," ",IF(B86=" ",SUM(D$13:D85),IF(B87=" "," ",ROUND(F86*E$6/E$7,2))))</f>
        <v xml:space="preserve"> </v>
      </c>
      <c r="E87" s="201" t="str">
        <f>IF(AND(B85=" ",B86=" ",B87=" ")," ",IF(B86=" ",SUM(E$13:E85),IF(B87=" "," ",E$8)))</f>
        <v xml:space="preserve"> </v>
      </c>
      <c r="F87" s="201" t="str">
        <f>IF(AND(B85=" ",B86=" ",B87=" ")," ",IF(B86=" ",SUM(F$12:F84),IF(B87=" "," ",F86-E87)))</f>
        <v xml:space="preserve"> </v>
      </c>
      <c r="G87" s="201" t="str">
        <f>IF(AND(B85=" ",B86=" ",B87=" ")," ",IF(B86=" ",SUM(G$12:G85),IF(B88=" ",IF(E$5*E$7=B87,C87-C$7+C$8+G$10," "),C87)))</f>
        <v xml:space="preserve"> </v>
      </c>
      <c r="H87" s="204" t="str">
        <f>IF(AND(B85=" ",B86=" ",B87=" ")," ",IF(B86=" ",SUM(H$13:H85)*E$7,IF(B87=" "," ",IF(B88=" ",IF(E$5*E$7=B87,IRR(G$12:G87,0.01)," ")," "))))</f>
        <v xml:space="preserve"> </v>
      </c>
      <c r="I87" s="202" t="str">
        <f t="shared" si="4"/>
        <v/>
      </c>
      <c r="J87" s="202" t="str">
        <f t="shared" si="5"/>
        <v/>
      </c>
      <c r="K87" s="55"/>
      <c r="L87" s="56"/>
      <c r="O87" s="67"/>
      <c r="P87" s="67" t="str">
        <f>IF($A88="","",IF($A89="",IF(YEAR($A88)=2003,SUM($D$12:$D88),""),IF(AND(YEAR($A88)=2003,YEAR($A89)=2004),SUM($D$12:$D88,$D89*(P$8-$A88)/($A89-$A88)),"")))</f>
        <v/>
      </c>
      <c r="Q87" s="67" t="str">
        <f>IF(A88="","",IF(A89="",IF(YEAR(A88)=2004,SUM(D$12:D88),""),IF(AND(YEAR(A88)=2004,YEAR(A89)=2005),SUM(D$12:D88,D89*(Q$8-A88)/(A89-A88)),"")))</f>
        <v/>
      </c>
      <c r="R87" s="67" t="str">
        <f>IF(A88="","",IF(A89="",IF(YEAR(A88)=2005,SUM(D$12:D88),""),IF(AND(YEAR(A88)=2005,YEAR(A89)=2006),SUM(D$12:D88,D89*(R$8-A88)/(A89-A88)),"")))</f>
        <v/>
      </c>
      <c r="S87" s="67" t="str">
        <f>IF(A88="","",IF(A89="",IF(YEAR(A88)=2006,SUM(D$12:D88),""),IF(AND(YEAR(A88)=2006,YEAR(A89)=2007),SUM(D$12:D88,D89*(S$8-A88)/(A89-A88)),"")))</f>
        <v/>
      </c>
      <c r="T87" s="67" t="str">
        <f>IF(A88="","",IF(A89="",IF(YEAR(A88)=2007,SUM(D$12:D88),""),IF(AND(YEAR(A88)=2007,YEAR(A89)=2008),SUM(D$12:D88,D89*(T$8-A88)/(A89-A88)),"")))</f>
        <v/>
      </c>
      <c r="U87" s="67" t="str">
        <f>IF(A88="","",IF(A89="",IF(YEAR(A88)=2008,SUM(D$12:D88),""),IF(AND(YEAR(A88)=2008,YEAR(A89)=2009),SUM(D$12:D88,D89*(U$8-A88)/(A89-A88)),"")))</f>
        <v/>
      </c>
      <c r="V87" s="67" t="str">
        <f>IF(A88="","",IF(A89="",IF(YEAR(A88)=2009,SUM(D$12:D88),""),IF(AND(YEAR(A88)=2009,YEAR(A89)=2010),SUM(D$12:D88,D89*(V$8-A88)/(A89-A88)),"")))</f>
        <v/>
      </c>
      <c r="W87" s="67" t="str">
        <f>IF(A88="","",IF(A89="",IF(YEAR(A88)=2010,SUM(D$12:D88),""),IF(AND(YEAR(A88)=2010,YEAR(A89)=2011),SUM(D$12:D88,D89*(W$8-A88)/(A89-A88)),"")))</f>
        <v/>
      </c>
      <c r="X87" s="67" t="str">
        <f>IF(A88="","",IF(A89="",IF(YEAR(A88)=2011,SUM(D$12:D88),""),IF(AND(YEAR(A88)=2011,YEAR(A89)=2012),SUM(D$12:D88,D89*(X$8-A88)/(A89-A88)),"")))</f>
        <v/>
      </c>
      <c r="Y87" s="72" t="str">
        <f>IF(A88="","",IF(A89="",IF(YEAR(A88)=2012,SUM(D$12:D88),""),IF(AND(YEAR(A88)=2012,YEAR(A89)=2013),SUM(D$12:D88,D89*(Y$8-A88)/(A89-A88)),"")))</f>
        <v/>
      </c>
      <c r="Z87" s="67" t="str">
        <f>IF($A88="","",IF($A89="",IF(YEAR($A88)=2002,SUM($J$12:$J88),""),IF(AND(YEAR($A88)=2002,YEAR($A89)=2003),SUM($J$12:$J88,$J89*(O$8-$A88)/($A89-$A88)),"")))</f>
        <v/>
      </c>
      <c r="AA87" s="67" t="str">
        <f>IF($A88="","",IF($A89="",IF(YEAR($A88)=2003,SUM($J$12:$J88),""),IF(AND(YEAR($A88)=2003,YEAR($A89)=2004),SUM($J$12:$J88,$J89*(P$8-$A88)/($A89-$A88)),"")))</f>
        <v/>
      </c>
      <c r="AB87" s="67" t="str">
        <f>IF($A88="","",IF($A89="",IF(YEAR($A88)=2004,SUM($J$12:$J88),""),IF(AND(YEAR($A88)=2004,YEAR($A89)=2005),SUM($J$12:$J88,$J89*(Q$8-$A88)/($A89-$A88)),"")))</f>
        <v/>
      </c>
      <c r="AC87" s="67" t="str">
        <f>IF($A88="","",IF($A89="",IF(YEAR($A88)=2005,SUM($J$12:$J88),""),IF(AND(YEAR($A88)=2005,YEAR($A89)=2006),SUM($J$12:$J88,$J89*(R$8-$A88)/($A89-$A88)),"")))</f>
        <v/>
      </c>
      <c r="AD87" s="67" t="str">
        <f>IF($A88="","",IF($A89="",IF(YEAR($A88)=2006,SUM($J$12:$J88),""),IF(AND(YEAR($A88)=2006,YEAR($A89)=2007),SUM($J$12:$J88,$J89*(S$8-$A88)/($A89-$A88)),"")))</f>
        <v/>
      </c>
      <c r="AE87" s="67" t="str">
        <f>IF($A88="","",IF($A89="",IF(YEAR($A88)=2007,SUM($J$12:$J88),""),IF(AND(YEAR($A88)=2007,YEAR($A89)=2008),SUM($J$12:$J88,$J89*(T$8-$A88)/($A89-$A88)),"")))</f>
        <v/>
      </c>
      <c r="AF87" s="67" t="str">
        <f>IF($A88="","",IF($A89="",IF(YEAR($A88)=2008,SUM($J$12:$J88),""),IF(AND(YEAR($A88)=2008,YEAR($A89)=2009),SUM($J$12:$J88,$J89*(U$8-$A88)/($A89-$A88)),"")))</f>
        <v/>
      </c>
      <c r="AG87" s="67" t="str">
        <f>IF($A88="","",IF($A89="",IF(YEAR($A88)=2009,SUM($J$12:$J88),""),IF(AND(YEAR($A88)=2009,YEAR($A89)=2010),SUM($J$12:$J88,$J89*(V$8-$A88)/($A89-$A88)),"")))</f>
        <v/>
      </c>
      <c r="AH87" s="67" t="str">
        <f>IF($A88="","",IF($A89="",IF(YEAR($A88)=2010,SUM($J$12:$J88),""),IF(AND(YEAR($A88)=2010,YEAR($A89)=2011),SUM($J$12:$J88,$J89*(W$8-$A88)/($A89-$A88)),"")))</f>
        <v/>
      </c>
      <c r="AI87" s="67" t="str">
        <f>IF($A88="","",IF($A89="",IF(YEAR($A88)=2011,SUM($J$12:$J88),""),IF(AND(YEAR($A88)=2011,YEAR($A89)=2012),SUM($J$12:$J88,$J89*(X$8-$A88)/($A89-$A88)),"")))</f>
        <v/>
      </c>
      <c r="AJ87" s="67" t="str">
        <f>IF($A88="","",IF($A89="",IF(YEAR($A88)=2012,SUM($J$12:$J88),""),IF(AND(YEAR($A88)=2012,YEAR($A89)=2013),SUM($J$12:$J88,$J89*(Y$8-$A88)/($A89-$A88)),"")))</f>
        <v/>
      </c>
    </row>
    <row r="88" spans="1:36" x14ac:dyDescent="0.2">
      <c r="A88" s="309" t="str">
        <f t="shared" si="3"/>
        <v/>
      </c>
      <c r="B88" s="168" t="str">
        <f>IF($E$5*$E$7&lt;76," ",76)</f>
        <v xml:space="preserve"> </v>
      </c>
      <c r="C88" s="201" t="str">
        <f>IF(AND(B86=" ",B87=" ",B88=" ")," ",IF(B87=" ",SUM(C$13:C86),IF(B88=" "," ",D88+E88)))</f>
        <v xml:space="preserve"> </v>
      </c>
      <c r="D88" s="201" t="str">
        <f>IF(AND(B86=" ",B87=" ",B88=" ")," ",IF(B87=" ",SUM(D$13:D86),IF(B88=" "," ",ROUND(F87*E$6/E$7,2))))</f>
        <v xml:space="preserve"> </v>
      </c>
      <c r="E88" s="201" t="str">
        <f>IF(AND(B86=" ",B87=" ",B88=" ")," ",IF(B87=" ",SUM(E$13:E86),IF(B88=" "," ",E$8)))</f>
        <v xml:space="preserve"> </v>
      </c>
      <c r="F88" s="201" t="str">
        <f>IF(AND(B86=" ",B87=" ",B88=" ")," ",IF(B87=" ",SUM(F$12:F85),IF(B88=" "," ",F87-E88)))</f>
        <v xml:space="preserve"> </v>
      </c>
      <c r="G88" s="201" t="str">
        <f>IF(AND(B86=" ",B87=" ",B88=" ")," ",IF(B87=" ",SUM(G$12:G86),IF(B89=" ",IF(E$5*E$7=B88,C88-C$7+C$8+G$10," "),C88)))</f>
        <v xml:space="preserve"> </v>
      </c>
      <c r="H88" s="204" t="str">
        <f>IF(AND(B86=" ",B87=" ",B88=" ")," ",IF(B87=" ",SUM(H$13:H86)*E$7,IF(B88=" "," ",IF(B89=" ",IF(E$5*E$7=B88,IRR(G$12:G88,0.01)," ")," "))))</f>
        <v xml:space="preserve"> </v>
      </c>
      <c r="I88" s="202" t="str">
        <f t="shared" si="4"/>
        <v/>
      </c>
      <c r="J88" s="202" t="str">
        <f t="shared" si="5"/>
        <v/>
      </c>
      <c r="K88" s="55"/>
      <c r="L88" s="56"/>
      <c r="O88" s="67"/>
      <c r="P88" s="67" t="str">
        <f>IF($A89="","",IF($A90="",IF(YEAR($A89)=2003,SUM($D$12:$D89),""),IF(AND(YEAR($A89)=2003,YEAR($A90)=2004),SUM($D$12:$D89,$D90*(P$8-$A89)/($A90-$A89)),"")))</f>
        <v/>
      </c>
      <c r="Q88" s="67" t="str">
        <f>IF(A89="","",IF(A90="",IF(YEAR(A89)=2004,SUM(D$12:D89),""),IF(AND(YEAR(A89)=2004,YEAR(A90)=2005),SUM(D$12:D89,D90*(Q$8-A89)/(A90-A89)),"")))</f>
        <v/>
      </c>
      <c r="R88" s="67" t="str">
        <f>IF(A89="","",IF(A90="",IF(YEAR(A89)=2005,SUM(D$12:D89),""),IF(AND(YEAR(A89)=2005,YEAR(A90)=2006),SUM(D$12:D89,D90*(R$8-A89)/(A90-A89)),"")))</f>
        <v/>
      </c>
      <c r="S88" s="67" t="str">
        <f>IF(A89="","",IF(A90="",IF(YEAR(A89)=2006,SUM(D$12:D89),""),IF(AND(YEAR(A89)=2006,YEAR(A90)=2007),SUM(D$12:D89,D90*(S$8-A89)/(A90-A89)),"")))</f>
        <v/>
      </c>
      <c r="T88" s="67" t="str">
        <f>IF(A89="","",IF(A90="",IF(YEAR(A89)=2007,SUM(D$12:D89),""),IF(AND(YEAR(A89)=2007,YEAR(A90)=2008),SUM(D$12:D89,D90*(T$8-A89)/(A90-A89)),"")))</f>
        <v/>
      </c>
      <c r="U88" s="67" t="str">
        <f>IF(A89="","",IF(A90="",IF(YEAR(A89)=2008,SUM(D$12:D89),""),IF(AND(YEAR(A89)=2008,YEAR(A90)=2009),SUM(D$12:D89,D90*(U$8-A89)/(A90-A89)),"")))</f>
        <v/>
      </c>
      <c r="V88" s="67" t="str">
        <f>IF(A89="","",IF(A90="",IF(YEAR(A89)=2009,SUM(D$12:D89),""),IF(AND(YEAR(A89)=2009,YEAR(A90)=2010),SUM(D$12:D89,D90*(V$8-A89)/(A90-A89)),"")))</f>
        <v/>
      </c>
      <c r="W88" s="67" t="str">
        <f>IF(A89="","",IF(A90="",IF(YEAR(A89)=2010,SUM(D$12:D89),""),IF(AND(YEAR(A89)=2010,YEAR(A90)=2011),SUM(D$12:D89,D90*(W$8-A89)/(A90-A89)),"")))</f>
        <v/>
      </c>
      <c r="X88" s="67" t="str">
        <f>IF(A89="","",IF(A90="",IF(YEAR(A89)=2011,SUM(D$12:D89),""),IF(AND(YEAR(A89)=2011,YEAR(A90)=2012),SUM(D$12:D89,D90*(X$8-A89)/(A90-A89)),"")))</f>
        <v/>
      </c>
      <c r="Y88" s="72" t="str">
        <f>IF(A89="","",IF(A90="",IF(YEAR(A89)=2012,SUM(D$12:D89),""),IF(AND(YEAR(A89)=2012,YEAR(A90)=2013),SUM(D$12:D89,D90*(Y$8-A89)/(A90-A89)),"")))</f>
        <v/>
      </c>
      <c r="Z88" s="67" t="str">
        <f>IF($A89="","",IF($A90="",IF(YEAR($A89)=2002,SUM($J$12:$J89),""),IF(AND(YEAR($A89)=2002,YEAR($A90)=2003),SUM($J$12:$J89,$J90*(O$8-$A89)/($A90-$A89)),"")))</f>
        <v/>
      </c>
      <c r="AA88" s="67" t="str">
        <f>IF($A89="","",IF($A90="",IF(YEAR($A89)=2003,SUM($J$12:$J89),""),IF(AND(YEAR($A89)=2003,YEAR($A90)=2004),SUM($J$12:$J89,$J90*(P$8-$A89)/($A90-$A89)),"")))</f>
        <v/>
      </c>
      <c r="AB88" s="67" t="str">
        <f>IF($A89="","",IF($A90="",IF(YEAR($A89)=2004,SUM($J$12:$J89),""),IF(AND(YEAR($A89)=2004,YEAR($A90)=2005),SUM($J$12:$J89,$J90*(Q$8-$A89)/($A90-$A89)),"")))</f>
        <v/>
      </c>
      <c r="AC88" s="67" t="str">
        <f>IF($A89="","",IF($A90="",IF(YEAR($A89)=2005,SUM($J$12:$J89),""),IF(AND(YEAR($A89)=2005,YEAR($A90)=2006),SUM($J$12:$J89,$J90*(R$8-$A89)/($A90-$A89)),"")))</f>
        <v/>
      </c>
      <c r="AD88" s="67" t="str">
        <f>IF($A89="","",IF($A90="",IF(YEAR($A89)=2006,SUM($J$12:$J89),""),IF(AND(YEAR($A89)=2006,YEAR($A90)=2007),SUM($J$12:$J89,$J90*(S$8-$A89)/($A90-$A89)),"")))</f>
        <v/>
      </c>
      <c r="AE88" s="67" t="str">
        <f>IF($A89="","",IF($A90="",IF(YEAR($A89)=2007,SUM($J$12:$J89),""),IF(AND(YEAR($A89)=2007,YEAR($A90)=2008),SUM($J$12:$J89,$J90*(T$8-$A89)/($A90-$A89)),"")))</f>
        <v/>
      </c>
      <c r="AF88" s="67" t="str">
        <f>IF($A89="","",IF($A90="",IF(YEAR($A89)=2008,SUM($J$12:$J89),""),IF(AND(YEAR($A89)=2008,YEAR($A90)=2009),SUM($J$12:$J89,$J90*(U$8-$A89)/($A90-$A89)),"")))</f>
        <v/>
      </c>
      <c r="AG88" s="67" t="str">
        <f>IF($A89="","",IF($A90="",IF(YEAR($A89)=2009,SUM($J$12:$J89),""),IF(AND(YEAR($A89)=2009,YEAR($A90)=2010),SUM($J$12:$J89,$J90*(V$8-$A89)/($A90-$A89)),"")))</f>
        <v/>
      </c>
      <c r="AH88" s="67" t="str">
        <f>IF($A89="","",IF($A90="",IF(YEAR($A89)=2010,SUM($J$12:$J89),""),IF(AND(YEAR($A89)=2010,YEAR($A90)=2011),SUM($J$12:$J89,$J90*(W$8-$A89)/($A90-$A89)),"")))</f>
        <v/>
      </c>
      <c r="AI88" s="67" t="str">
        <f>IF($A89="","",IF($A90="",IF(YEAR($A89)=2011,SUM($J$12:$J89),""),IF(AND(YEAR($A89)=2011,YEAR($A90)=2012),SUM($J$12:$J89,$J90*(X$8-$A89)/($A90-$A89)),"")))</f>
        <v/>
      </c>
      <c r="AJ88" s="67" t="str">
        <f>IF($A89="","",IF($A90="",IF(YEAR($A89)=2012,SUM($J$12:$J89),""),IF(AND(YEAR($A89)=2012,YEAR($A90)=2013),SUM($J$12:$J89,$J90*(Y$8-$A89)/($A90-$A89)),"")))</f>
        <v/>
      </c>
    </row>
    <row r="89" spans="1:36" x14ac:dyDescent="0.2">
      <c r="A89" s="309" t="str">
        <f t="shared" si="3"/>
        <v/>
      </c>
      <c r="B89" s="168" t="str">
        <f>IF($E$5*$E$7&lt;77," ",77)</f>
        <v xml:space="preserve"> </v>
      </c>
      <c r="C89" s="201" t="str">
        <f>IF(AND(B87=" ",B88=" ",B89=" ")," ",IF(B88=" ",SUM(C$13:C87),IF(B89=" "," ",D89+E89)))</f>
        <v xml:space="preserve"> </v>
      </c>
      <c r="D89" s="201" t="str">
        <f>IF(AND(B87=" ",B88=" ",B89=" ")," ",IF(B88=" ",SUM(D$13:D87),IF(B89=" "," ",ROUND(F88*E$6/E$7,2))))</f>
        <v xml:space="preserve"> </v>
      </c>
      <c r="E89" s="201" t="str">
        <f>IF(AND(B87=" ",B88=" ",B89=" ")," ",IF(B88=" ",SUM(E$13:E87),IF(B89=" "," ",E$8)))</f>
        <v xml:space="preserve"> </v>
      </c>
      <c r="F89" s="201" t="str">
        <f>IF(AND(B87=" ",B88=" ",B89=" ")," ",IF(B88=" ",SUM(F$12:F86),IF(B89=" "," ",F88-E89)))</f>
        <v xml:space="preserve"> </v>
      </c>
      <c r="G89" s="201" t="str">
        <f>IF(AND(B87=" ",B88=" ",B89=" ")," ",IF(B88=" ",SUM(G$12:G87),IF(B90=" ",IF(E$5*E$7=B89,C89-C$7+C$8+G$10," "),C89)))</f>
        <v xml:space="preserve"> </v>
      </c>
      <c r="H89" s="204" t="str">
        <f>IF(AND(B87=" ",B88=" ",B89=" ")," ",IF(B88=" ",SUM(H$13:H87)*E$7,IF(B89=" "," ",IF(B90=" ",IF(E$5*E$7=B89,IRR(G$12:G89,0.01)," ")," "))))</f>
        <v xml:space="preserve"> </v>
      </c>
      <c r="I89" s="202" t="str">
        <f t="shared" si="4"/>
        <v/>
      </c>
      <c r="J89" s="202" t="str">
        <f t="shared" si="5"/>
        <v/>
      </c>
      <c r="K89" s="55"/>
      <c r="L89" s="56"/>
      <c r="O89" s="67"/>
      <c r="P89" s="67" t="str">
        <f>IF($A90="","",IF($A91="",IF(YEAR($A90)=2003,SUM($D$12:$D90),""),IF(AND(YEAR($A90)=2003,YEAR($A91)=2004),SUM($D$12:$D90,$D91*(P$8-$A90)/($A91-$A90)),"")))</f>
        <v/>
      </c>
      <c r="Q89" s="67" t="str">
        <f>IF(A90="","",IF(A91="",IF(YEAR(A90)=2004,SUM(D$12:D90),""),IF(AND(YEAR(A90)=2004,YEAR(A91)=2005),SUM(D$12:D90,D91*(Q$8-A90)/(A91-A90)),"")))</f>
        <v/>
      </c>
      <c r="R89" s="67" t="str">
        <f>IF(A90="","",IF(A91="",IF(YEAR(A90)=2005,SUM(D$12:D90),""),IF(AND(YEAR(A90)=2005,YEAR(A91)=2006),SUM(D$12:D90,D91*(R$8-A90)/(A91-A90)),"")))</f>
        <v/>
      </c>
      <c r="S89" s="67" t="str">
        <f>IF(A90="","",IF(A91="",IF(YEAR(A90)=2006,SUM(D$12:D90),""),IF(AND(YEAR(A90)=2006,YEAR(A91)=2007),SUM(D$12:D90,D91*(S$8-A90)/(A91-A90)),"")))</f>
        <v/>
      </c>
      <c r="T89" s="67" t="str">
        <f>IF(A90="","",IF(A91="",IF(YEAR(A90)=2007,SUM(D$12:D90),""),IF(AND(YEAR(A90)=2007,YEAR(A91)=2008),SUM(D$12:D90,D91*(T$8-A90)/(A91-A90)),"")))</f>
        <v/>
      </c>
      <c r="U89" s="67" t="str">
        <f>IF(A90="","",IF(A91="",IF(YEAR(A90)=2008,SUM(D$12:D90),""),IF(AND(YEAR(A90)=2008,YEAR(A91)=2009),SUM(D$12:D90,D91*(U$8-A90)/(A91-A90)),"")))</f>
        <v/>
      </c>
      <c r="V89" s="67" t="str">
        <f>IF(A90="","",IF(A91="",IF(YEAR(A90)=2009,SUM(D$12:D90),""),IF(AND(YEAR(A90)=2009,YEAR(A91)=2010),SUM(D$12:D90,D91*(V$8-A90)/(A91-A90)),"")))</f>
        <v/>
      </c>
      <c r="W89" s="67" t="str">
        <f>IF(A90="","",IF(A91="",IF(YEAR(A90)=2010,SUM(D$12:D90),""),IF(AND(YEAR(A90)=2010,YEAR(A91)=2011),SUM(D$12:D90,D91*(W$8-A90)/(A91-A90)),"")))</f>
        <v/>
      </c>
      <c r="X89" s="67" t="str">
        <f>IF(A90="","",IF(A91="",IF(YEAR(A90)=2011,SUM(D$12:D90),""),IF(AND(YEAR(A90)=2011,YEAR(A91)=2012),SUM(D$12:D90,D91*(X$8-A90)/(A91-A90)),"")))</f>
        <v/>
      </c>
      <c r="Y89" s="72" t="str">
        <f>IF(A90="","",IF(A91="",IF(YEAR(A90)=2012,SUM(D$12:D90),""),IF(AND(YEAR(A90)=2012,YEAR(A91)=2013),SUM(D$12:D90,D91*(Y$8-A90)/(A91-A90)),"")))</f>
        <v/>
      </c>
      <c r="Z89" s="67" t="str">
        <f>IF($A90="","",IF($A91="",IF(YEAR($A90)=2002,SUM($J$12:$J90),""),IF(AND(YEAR($A90)=2002,YEAR($A91)=2003),SUM($J$12:$J90,$J91*(O$8-$A90)/($A91-$A90)),"")))</f>
        <v/>
      </c>
      <c r="AA89" s="67" t="str">
        <f>IF($A90="","",IF($A91="",IF(YEAR($A90)=2003,SUM($J$12:$J90),""),IF(AND(YEAR($A90)=2003,YEAR($A91)=2004),SUM($J$12:$J90,$J91*(P$8-$A90)/($A91-$A90)),"")))</f>
        <v/>
      </c>
      <c r="AB89" s="67" t="str">
        <f>IF($A90="","",IF($A91="",IF(YEAR($A90)=2004,SUM($J$12:$J90),""),IF(AND(YEAR($A90)=2004,YEAR($A91)=2005),SUM($J$12:$J90,$J91*(Q$8-$A90)/($A91-$A90)),"")))</f>
        <v/>
      </c>
      <c r="AC89" s="67" t="str">
        <f>IF($A90="","",IF($A91="",IF(YEAR($A90)=2005,SUM($J$12:$J90),""),IF(AND(YEAR($A90)=2005,YEAR($A91)=2006),SUM($J$12:$J90,$J91*(R$8-$A90)/($A91-$A90)),"")))</f>
        <v/>
      </c>
      <c r="AD89" s="67" t="str">
        <f>IF($A90="","",IF($A91="",IF(YEAR($A90)=2006,SUM($J$12:$J90),""),IF(AND(YEAR($A90)=2006,YEAR($A91)=2007),SUM($J$12:$J90,$J91*(S$8-$A90)/($A91-$A90)),"")))</f>
        <v/>
      </c>
      <c r="AE89" s="67" t="str">
        <f>IF($A90="","",IF($A91="",IF(YEAR($A90)=2007,SUM($J$12:$J90),""),IF(AND(YEAR($A90)=2007,YEAR($A91)=2008),SUM($J$12:$J90,$J91*(T$8-$A90)/($A91-$A90)),"")))</f>
        <v/>
      </c>
      <c r="AF89" s="67" t="str">
        <f>IF($A90="","",IF($A91="",IF(YEAR($A90)=2008,SUM($J$12:$J90),""),IF(AND(YEAR($A90)=2008,YEAR($A91)=2009),SUM($J$12:$J90,$J91*(U$8-$A90)/($A91-$A90)),"")))</f>
        <v/>
      </c>
      <c r="AG89" s="67" t="str">
        <f>IF($A90="","",IF($A91="",IF(YEAR($A90)=2009,SUM($J$12:$J90),""),IF(AND(YEAR($A90)=2009,YEAR($A91)=2010),SUM($J$12:$J90,$J91*(V$8-$A90)/($A91-$A90)),"")))</f>
        <v/>
      </c>
      <c r="AH89" s="67" t="str">
        <f>IF($A90="","",IF($A91="",IF(YEAR($A90)=2010,SUM($J$12:$J90),""),IF(AND(YEAR($A90)=2010,YEAR($A91)=2011),SUM($J$12:$J90,$J91*(W$8-$A90)/($A91-$A90)),"")))</f>
        <v/>
      </c>
      <c r="AI89" s="67" t="str">
        <f>IF($A90="","",IF($A91="",IF(YEAR($A90)=2011,SUM($J$12:$J90),""),IF(AND(YEAR($A90)=2011,YEAR($A91)=2012),SUM($J$12:$J90,$J91*(X$8-$A90)/($A91-$A90)),"")))</f>
        <v/>
      </c>
      <c r="AJ89" s="67" t="str">
        <f>IF($A90="","",IF($A91="",IF(YEAR($A90)=2012,SUM($J$12:$J90),""),IF(AND(YEAR($A90)=2012,YEAR($A91)=2013),SUM($J$12:$J90,$J91*(Y$8-$A90)/($A91-$A90)),"")))</f>
        <v/>
      </c>
    </row>
    <row r="90" spans="1:36" x14ac:dyDescent="0.2">
      <c r="A90" s="309" t="str">
        <f t="shared" si="3"/>
        <v/>
      </c>
      <c r="B90" s="168" t="str">
        <f>IF($E$5*$E$7&lt;78," ",78)</f>
        <v xml:space="preserve"> </v>
      </c>
      <c r="C90" s="201" t="str">
        <f>IF(AND(B88=" ",B89=" ",B90=" ")," ",IF(B89=" ",SUM(C$13:C88),IF(B90=" "," ",D90+E90)))</f>
        <v xml:space="preserve"> </v>
      </c>
      <c r="D90" s="201" t="str">
        <f>IF(AND(B88=" ",B89=" ",B90=" ")," ",IF(B89=" ",SUM(D$13:D88),IF(B90=" "," ",ROUND(F89*E$6/E$7,2))))</f>
        <v xml:space="preserve"> </v>
      </c>
      <c r="E90" s="201" t="str">
        <f>IF(AND(B88=" ",B89=" ",B90=" ")," ",IF(B89=" ",SUM(E$13:E88),IF(B90=" "," ",E$8)))</f>
        <v xml:space="preserve"> </v>
      </c>
      <c r="F90" s="201" t="str">
        <f>IF(AND(B88=" ",B89=" ",B90=" ")," ",IF(B89=" ",SUM(F$12:F87),IF(B90=" "," ",F89-E90)))</f>
        <v xml:space="preserve"> </v>
      </c>
      <c r="G90" s="201" t="str">
        <f>IF(AND(B88=" ",B89=" ",B90=" ")," ",IF(B89=" ",SUM(G$12:G88),IF(B91=" ",IF(E$5*E$7=B90,C90-C$7+C$8+G$10," "),C90)))</f>
        <v xml:space="preserve"> </v>
      </c>
      <c r="H90" s="204" t="str">
        <f>IF(AND(B88=" ",B89=" ",B90=" ")," ",IF(B89=" ",SUM(H$13:H88)*E$7,IF(B90=" "," ",IF(B91=" ",IF(E$5*E$7=B90,IRR(G$12:G90,0.01)," ")," "))))</f>
        <v xml:space="preserve"> </v>
      </c>
      <c r="I90" s="202" t="str">
        <f t="shared" si="4"/>
        <v/>
      </c>
      <c r="J90" s="202" t="str">
        <f t="shared" si="5"/>
        <v/>
      </c>
      <c r="K90" s="55"/>
      <c r="L90" s="56"/>
      <c r="O90" s="67"/>
      <c r="P90" s="67" t="str">
        <f>IF($A91="","",IF($A92="",IF(YEAR($A91)=2003,SUM($D$12:$D91),""),IF(AND(YEAR($A91)=2003,YEAR($A92)=2004),SUM($D$12:$D91,$D92*(P$8-$A91)/($A92-$A91)),"")))</f>
        <v/>
      </c>
      <c r="Q90" s="67" t="str">
        <f>IF(A91="","",IF(A92="",IF(YEAR(A91)=2004,SUM(D$12:D91),""),IF(AND(YEAR(A91)=2004,YEAR(A92)=2005),SUM(D$12:D91,D92*(Q$8-A91)/(A92-A91)),"")))</f>
        <v/>
      </c>
      <c r="R90" s="67" t="str">
        <f>IF(A91="","",IF(A92="",IF(YEAR(A91)=2005,SUM(D$12:D91),""),IF(AND(YEAR(A91)=2005,YEAR(A92)=2006),SUM(D$12:D91,D92*(R$8-A91)/(A92-A91)),"")))</f>
        <v/>
      </c>
      <c r="S90" s="67" t="str">
        <f>IF(A91="","",IF(A92="",IF(YEAR(A91)=2006,SUM(D$12:D91),""),IF(AND(YEAR(A91)=2006,YEAR(A92)=2007),SUM(D$12:D91,D92*(S$8-A91)/(A92-A91)),"")))</f>
        <v/>
      </c>
      <c r="T90" s="67" t="str">
        <f>IF(A91="","",IF(A92="",IF(YEAR(A91)=2007,SUM(D$12:D91),""),IF(AND(YEAR(A91)=2007,YEAR(A92)=2008),SUM(D$12:D91,D92*(T$8-A91)/(A92-A91)),"")))</f>
        <v/>
      </c>
      <c r="U90" s="67" t="str">
        <f>IF(A91="","",IF(A92="",IF(YEAR(A91)=2008,SUM(D$12:D91),""),IF(AND(YEAR(A91)=2008,YEAR(A92)=2009),SUM(D$12:D91,D92*(U$8-A91)/(A92-A91)),"")))</f>
        <v/>
      </c>
      <c r="V90" s="67" t="str">
        <f>IF(A91="","",IF(A92="",IF(YEAR(A91)=2009,SUM(D$12:D91),""),IF(AND(YEAR(A91)=2009,YEAR(A92)=2010),SUM(D$12:D91,D92*(V$8-A91)/(A92-A91)),"")))</f>
        <v/>
      </c>
      <c r="W90" s="67" t="str">
        <f>IF(A91="","",IF(A92="",IF(YEAR(A91)=2010,SUM(D$12:D91),""),IF(AND(YEAR(A91)=2010,YEAR(A92)=2011),SUM(D$12:D91,D92*(W$8-A91)/(A92-A91)),"")))</f>
        <v/>
      </c>
      <c r="X90" s="67" t="str">
        <f>IF(A91="","",IF(A92="",IF(YEAR(A91)=2011,SUM(D$12:D91),""),IF(AND(YEAR(A91)=2011,YEAR(A92)=2012),SUM(D$12:D91,D92*(X$8-A91)/(A92-A91)),"")))</f>
        <v/>
      </c>
      <c r="Y90" s="72" t="str">
        <f>IF(A91="","",IF(A92="",IF(YEAR(A91)=2012,SUM(D$12:D91),""),IF(AND(YEAR(A91)=2012,YEAR(A92)=2013),SUM(D$12:D91,D92*(Y$8-A91)/(A92-A91)),"")))</f>
        <v/>
      </c>
      <c r="Z90" s="67" t="str">
        <f>IF($A91="","",IF($A92="",IF(YEAR($A91)=2002,SUM($J$12:$J91),""),IF(AND(YEAR($A91)=2002,YEAR($A92)=2003),SUM($J$12:$J91,$J92*(O$8-$A91)/($A92-$A91)),"")))</f>
        <v/>
      </c>
      <c r="AA90" s="67" t="str">
        <f>IF($A91="","",IF($A92="",IF(YEAR($A91)=2003,SUM($J$12:$J91),""),IF(AND(YEAR($A91)=2003,YEAR($A92)=2004),SUM($J$12:$J91,$J92*(P$8-$A91)/($A92-$A91)),"")))</f>
        <v/>
      </c>
      <c r="AB90" s="67" t="str">
        <f>IF($A91="","",IF($A92="",IF(YEAR($A91)=2004,SUM($J$12:$J91),""),IF(AND(YEAR($A91)=2004,YEAR($A92)=2005),SUM($J$12:$J91,$J92*(Q$8-$A91)/($A92-$A91)),"")))</f>
        <v/>
      </c>
      <c r="AC90" s="67" t="str">
        <f>IF($A91="","",IF($A92="",IF(YEAR($A91)=2005,SUM($J$12:$J91),""),IF(AND(YEAR($A91)=2005,YEAR($A92)=2006),SUM($J$12:$J91,$J92*(R$8-$A91)/($A92-$A91)),"")))</f>
        <v/>
      </c>
      <c r="AD90" s="67" t="str">
        <f>IF($A91="","",IF($A92="",IF(YEAR($A91)=2006,SUM($J$12:$J91),""),IF(AND(YEAR($A91)=2006,YEAR($A92)=2007),SUM($J$12:$J91,$J92*(S$8-$A91)/($A92-$A91)),"")))</f>
        <v/>
      </c>
      <c r="AE90" s="67" t="str">
        <f>IF($A91="","",IF($A92="",IF(YEAR($A91)=2007,SUM($J$12:$J91),""),IF(AND(YEAR($A91)=2007,YEAR($A92)=2008),SUM($J$12:$J91,$J92*(T$8-$A91)/($A92-$A91)),"")))</f>
        <v/>
      </c>
      <c r="AF90" s="67" t="str">
        <f>IF($A91="","",IF($A92="",IF(YEAR($A91)=2008,SUM($J$12:$J91),""),IF(AND(YEAR($A91)=2008,YEAR($A92)=2009),SUM($J$12:$J91,$J92*(U$8-$A91)/($A92-$A91)),"")))</f>
        <v/>
      </c>
      <c r="AG90" s="67" t="str">
        <f>IF($A91="","",IF($A92="",IF(YEAR($A91)=2009,SUM($J$12:$J91),""),IF(AND(YEAR($A91)=2009,YEAR($A92)=2010),SUM($J$12:$J91,$J92*(V$8-$A91)/($A92-$A91)),"")))</f>
        <v/>
      </c>
      <c r="AH90" s="67" t="str">
        <f>IF($A91="","",IF($A92="",IF(YEAR($A91)=2010,SUM($J$12:$J91),""),IF(AND(YEAR($A91)=2010,YEAR($A92)=2011),SUM($J$12:$J91,$J92*(W$8-$A91)/($A92-$A91)),"")))</f>
        <v/>
      </c>
      <c r="AI90" s="67" t="str">
        <f>IF($A91="","",IF($A92="",IF(YEAR($A91)=2011,SUM($J$12:$J91),""),IF(AND(YEAR($A91)=2011,YEAR($A92)=2012),SUM($J$12:$J91,$J92*(X$8-$A91)/($A92-$A91)),"")))</f>
        <v/>
      </c>
      <c r="AJ90" s="67" t="str">
        <f>IF($A91="","",IF($A92="",IF(YEAR($A91)=2012,SUM($J$12:$J91),""),IF(AND(YEAR($A91)=2012,YEAR($A92)=2013),SUM($J$12:$J91,$J92*(Y$8-$A91)/($A92-$A91)),"")))</f>
        <v/>
      </c>
    </row>
    <row r="91" spans="1:36" x14ac:dyDescent="0.2">
      <c r="A91" s="309" t="str">
        <f t="shared" si="3"/>
        <v/>
      </c>
      <c r="B91" s="168" t="str">
        <f>IF($E$5*$E$7&lt;79," ",79)</f>
        <v xml:space="preserve"> </v>
      </c>
      <c r="C91" s="201" t="str">
        <f>IF(AND(B89=" ",B90=" ",B91=" ")," ",IF(B90=" ",SUM(C$13:C89),IF(B91=" "," ",D91+E91)))</f>
        <v xml:space="preserve"> </v>
      </c>
      <c r="D91" s="201" t="str">
        <f>IF(AND(B89=" ",B90=" ",B91=" ")," ",IF(B90=" ",SUM(D$13:D89),IF(B91=" "," ",ROUND(F90*E$6/E$7,2))))</f>
        <v xml:space="preserve"> </v>
      </c>
      <c r="E91" s="201" t="str">
        <f>IF(AND(B89=" ",B90=" ",B91=" ")," ",IF(B90=" ",SUM(E$13:E89),IF(B91=" "," ",E$8)))</f>
        <v xml:space="preserve"> </v>
      </c>
      <c r="F91" s="201" t="str">
        <f>IF(AND(B89=" ",B90=" ",B91=" ")," ",IF(B90=" ",SUM(F$12:F88),IF(B91=" "," ",F90-E91)))</f>
        <v xml:space="preserve"> </v>
      </c>
      <c r="G91" s="201" t="str">
        <f>IF(AND(B89=" ",B90=" ",B91=" ")," ",IF(B90=" ",SUM(G$12:G89),IF(B92=" ",IF(E$5*E$7=B91,C91-C$7+C$8+G$10," "),C91)))</f>
        <v xml:space="preserve"> </v>
      </c>
      <c r="H91" s="204" t="str">
        <f>IF(AND(B89=" ",B90=" ",B91=" ")," ",IF(B90=" ",SUM(H$13:H89)*E$7,IF(B91=" "," ",IF(B92=" ",IF(E$5*E$7=B91,IRR(G$12:G91,0.01)," ")," "))))</f>
        <v xml:space="preserve"> </v>
      </c>
      <c r="I91" s="202" t="str">
        <f t="shared" si="4"/>
        <v/>
      </c>
      <c r="J91" s="202" t="str">
        <f t="shared" si="5"/>
        <v/>
      </c>
      <c r="K91" s="55"/>
      <c r="L91" s="56"/>
      <c r="O91" s="67"/>
      <c r="P91" s="67" t="str">
        <f>IF($A92="","",IF($A93="",IF(YEAR($A92)=2003,SUM($D$12:$D92),""),IF(AND(YEAR($A92)=2003,YEAR($A93)=2004),SUM($D$12:$D92,$D93*(P$8-$A92)/($A93-$A92)),"")))</f>
        <v/>
      </c>
      <c r="Q91" s="67" t="str">
        <f>IF(A92="","",IF(A93="",IF(YEAR(A92)=2004,SUM(D$12:D92),""),IF(AND(YEAR(A92)=2004,YEAR(A93)=2005),SUM(D$12:D92,D93*(Q$8-A92)/(A93-A92)),"")))</f>
        <v/>
      </c>
      <c r="R91" s="67" t="str">
        <f>IF(A92="","",IF(A93="",IF(YEAR(A92)=2005,SUM(D$12:D92),""),IF(AND(YEAR(A92)=2005,YEAR(A93)=2006),SUM(D$12:D92,D93*(R$8-A92)/(A93-A92)),"")))</f>
        <v/>
      </c>
      <c r="S91" s="67" t="str">
        <f>IF(A92="","",IF(A93="",IF(YEAR(A92)=2006,SUM(D$12:D92),""),IF(AND(YEAR(A92)=2006,YEAR(A93)=2007),SUM(D$12:D92,D93*(S$8-A92)/(A93-A92)),"")))</f>
        <v/>
      </c>
      <c r="T91" s="67" t="str">
        <f>IF(A92="","",IF(A93="",IF(YEAR(A92)=2007,SUM(D$12:D92),""),IF(AND(YEAR(A92)=2007,YEAR(A93)=2008),SUM(D$12:D92,D93*(T$8-A92)/(A93-A92)),"")))</f>
        <v/>
      </c>
      <c r="U91" s="67" t="str">
        <f>IF(A92="","",IF(A93="",IF(YEAR(A92)=2008,SUM(D$12:D92),""),IF(AND(YEAR(A92)=2008,YEAR(A93)=2009),SUM(D$12:D92,D93*(U$8-A92)/(A93-A92)),"")))</f>
        <v/>
      </c>
      <c r="V91" s="67" t="str">
        <f>IF(A92="","",IF(A93="",IF(YEAR(A92)=2009,SUM(D$12:D92),""),IF(AND(YEAR(A92)=2009,YEAR(A93)=2010),SUM(D$12:D92,D93*(V$8-A92)/(A93-A92)),"")))</f>
        <v/>
      </c>
      <c r="W91" s="67" t="str">
        <f>IF(A92="","",IF(A93="",IF(YEAR(A92)=2010,SUM(D$12:D92),""),IF(AND(YEAR(A92)=2010,YEAR(A93)=2011),SUM(D$12:D92,D93*(W$8-A92)/(A93-A92)),"")))</f>
        <v/>
      </c>
      <c r="X91" s="67" t="str">
        <f>IF(A92="","",IF(A93="",IF(YEAR(A92)=2011,SUM(D$12:D92),""),IF(AND(YEAR(A92)=2011,YEAR(A93)=2012),SUM(D$12:D92,D93*(X$8-A92)/(A93-A92)),"")))</f>
        <v/>
      </c>
      <c r="Y91" s="72" t="str">
        <f>IF(A92="","",IF(A93="",IF(YEAR(A92)=2012,SUM(D$12:D92),""),IF(AND(YEAR(A92)=2012,YEAR(A93)=2013),SUM(D$12:D92,D93*(Y$8-A92)/(A93-A92)),"")))</f>
        <v/>
      </c>
      <c r="Z91" s="67" t="str">
        <f>IF($A92="","",IF($A93="",IF(YEAR($A92)=2002,SUM($J$12:$J92),""),IF(AND(YEAR($A92)=2002,YEAR($A93)=2003),SUM($J$12:$J92,$J93*(O$8-$A92)/($A93-$A92)),"")))</f>
        <v/>
      </c>
      <c r="AA91" s="67" t="str">
        <f>IF($A92="","",IF($A93="",IF(YEAR($A92)=2003,SUM($J$12:$J92),""),IF(AND(YEAR($A92)=2003,YEAR($A93)=2004),SUM($J$12:$J92,$J93*(P$8-$A92)/($A93-$A92)),"")))</f>
        <v/>
      </c>
      <c r="AB91" s="67" t="str">
        <f>IF($A92="","",IF($A93="",IF(YEAR($A92)=2004,SUM($J$12:$J92),""),IF(AND(YEAR($A92)=2004,YEAR($A93)=2005),SUM($J$12:$J92,$J93*(Q$8-$A92)/($A93-$A92)),"")))</f>
        <v/>
      </c>
      <c r="AC91" s="67" t="str">
        <f>IF($A92="","",IF($A93="",IF(YEAR($A92)=2005,SUM($J$12:$J92),""),IF(AND(YEAR($A92)=2005,YEAR($A93)=2006),SUM($J$12:$J92,$J93*(R$8-$A92)/($A93-$A92)),"")))</f>
        <v/>
      </c>
      <c r="AD91" s="67" t="str">
        <f>IF($A92="","",IF($A93="",IF(YEAR($A92)=2006,SUM($J$12:$J92),""),IF(AND(YEAR($A92)=2006,YEAR($A93)=2007),SUM($J$12:$J92,$J93*(S$8-$A92)/($A93-$A92)),"")))</f>
        <v/>
      </c>
      <c r="AE91" s="67" t="str">
        <f>IF($A92="","",IF($A93="",IF(YEAR($A92)=2007,SUM($J$12:$J92),""),IF(AND(YEAR($A92)=2007,YEAR($A93)=2008),SUM($J$12:$J92,$J93*(T$8-$A92)/($A93-$A92)),"")))</f>
        <v/>
      </c>
      <c r="AF91" s="67" t="str">
        <f>IF($A92="","",IF($A93="",IF(YEAR($A92)=2008,SUM($J$12:$J92),""),IF(AND(YEAR($A92)=2008,YEAR($A93)=2009),SUM($J$12:$J92,$J93*(U$8-$A92)/($A93-$A92)),"")))</f>
        <v/>
      </c>
      <c r="AG91" s="67" t="str">
        <f>IF($A92="","",IF($A93="",IF(YEAR($A92)=2009,SUM($J$12:$J92),""),IF(AND(YEAR($A92)=2009,YEAR($A93)=2010),SUM($J$12:$J92,$J93*(V$8-$A92)/($A93-$A92)),"")))</f>
        <v/>
      </c>
      <c r="AH91" s="67" t="str">
        <f>IF($A92="","",IF($A93="",IF(YEAR($A92)=2010,SUM($J$12:$J92),""),IF(AND(YEAR($A92)=2010,YEAR($A93)=2011),SUM($J$12:$J92,$J93*(W$8-$A92)/($A93-$A92)),"")))</f>
        <v/>
      </c>
      <c r="AI91" s="67" t="str">
        <f>IF($A92="","",IF($A93="",IF(YEAR($A92)=2011,SUM($J$12:$J92),""),IF(AND(YEAR($A92)=2011,YEAR($A93)=2012),SUM($J$12:$J92,$J93*(X$8-$A92)/($A93-$A92)),"")))</f>
        <v/>
      </c>
      <c r="AJ91" s="67" t="str">
        <f>IF($A92="","",IF($A93="",IF(YEAR($A92)=2012,SUM($J$12:$J92),""),IF(AND(YEAR($A92)=2012,YEAR($A93)=2013),SUM($J$12:$J92,$J93*(Y$8-$A92)/($A93-$A92)),"")))</f>
        <v/>
      </c>
    </row>
    <row r="92" spans="1:36" x14ac:dyDescent="0.2">
      <c r="A92" s="309" t="str">
        <f t="shared" si="3"/>
        <v/>
      </c>
      <c r="B92" s="168" t="str">
        <f>IF($E$5*$E$7&lt;80," ",80)</f>
        <v xml:space="preserve"> </v>
      </c>
      <c r="C92" s="201" t="str">
        <f>IF(AND(B90=" ",B91=" ",B92=" ")," ",IF(B91=" ",SUM(C$13:C90),IF(B92=" "," ",D92+E92)))</f>
        <v xml:space="preserve"> </v>
      </c>
      <c r="D92" s="201" t="str">
        <f>IF(AND(B90=" ",B91=" ",B92=" ")," ",IF(B91=" ",SUM(D$13:D90),IF(B92=" "," ",ROUND(F91*E$6/E$7,2))))</f>
        <v xml:space="preserve"> </v>
      </c>
      <c r="E92" s="201" t="str">
        <f>IF(AND(B90=" ",B91=" ",B92=" ")," ",IF(B91=" ",SUM(E$13:E90),IF(B92=" "," ",E$8)))</f>
        <v xml:space="preserve"> </v>
      </c>
      <c r="F92" s="201" t="str">
        <f>IF(AND(B90=" ",B91=" ",B92=" ")," ",IF(B91=" ",SUM(F$12:F89),IF(B92=" "," ",F91-E92)))</f>
        <v xml:space="preserve"> </v>
      </c>
      <c r="G92" s="201" t="str">
        <f>IF(AND(B90=" ",B91=" ",B92=" ")," ",IF(B91=" ",SUM(G$12:G90),IF(B93=" ",IF(E$5*E$7=B92,C92-C$7+C$8+G$10," "),C92)))</f>
        <v xml:space="preserve"> </v>
      </c>
      <c r="H92" s="204" t="str">
        <f>IF(AND(B90=" ",B91=" ",B92=" ")," ",IF(B91=" ",SUM(H$13:H90)*E$7,IF(B92=" "," ",IF(B93=" ",IF(E$5*E$7=B92,IRR(G$12:G92,0.01)," ")," "))))</f>
        <v xml:space="preserve"> </v>
      </c>
      <c r="I92" s="202" t="str">
        <f t="shared" si="4"/>
        <v/>
      </c>
      <c r="J92" s="202" t="str">
        <f t="shared" si="5"/>
        <v/>
      </c>
      <c r="K92" s="55"/>
      <c r="L92" s="56"/>
      <c r="O92" s="67"/>
      <c r="P92" s="67" t="str">
        <f>IF($A93="","",IF($A94="",IF(YEAR($A93)=2003,SUM($D$12:$D93),""),IF(AND(YEAR($A93)=2003,YEAR($A94)=2004),SUM($D$12:$D93,$D94*(P$8-$A93)/($A94-$A93)),"")))</f>
        <v/>
      </c>
      <c r="Q92" s="67" t="str">
        <f>IF(A93="","",IF(A94="",IF(YEAR(A93)=2004,SUM(D$12:D93),""),IF(AND(YEAR(A93)=2004,YEAR(A94)=2005),SUM(D$12:D93,D94*(Q$8-A93)/(A94-A93)),"")))</f>
        <v/>
      </c>
      <c r="R92" s="67" t="str">
        <f>IF(A93="","",IF(A94="",IF(YEAR(A93)=2005,SUM(D$12:D93),""),IF(AND(YEAR(A93)=2005,YEAR(A94)=2006),SUM(D$12:D93,D94*(R$8-A93)/(A94-A93)),"")))</f>
        <v/>
      </c>
      <c r="S92" s="67" t="str">
        <f>IF(A93="","",IF(A94="",IF(YEAR(A93)=2006,SUM(D$12:D93),""),IF(AND(YEAR(A93)=2006,YEAR(A94)=2007),SUM(D$12:D93,D94*(S$8-A93)/(A94-A93)),"")))</f>
        <v/>
      </c>
      <c r="T92" s="67" t="str">
        <f>IF(A93="","",IF(A94="",IF(YEAR(A93)=2007,SUM(D$12:D93),""),IF(AND(YEAR(A93)=2007,YEAR(A94)=2008),SUM(D$12:D93,D94*(T$8-A93)/(A94-A93)),"")))</f>
        <v/>
      </c>
      <c r="U92" s="67" t="str">
        <f>IF(A93="","",IF(A94="",IF(YEAR(A93)=2008,SUM(D$12:D93),""),IF(AND(YEAR(A93)=2008,YEAR(A94)=2009),SUM(D$12:D93,D94*(U$8-A93)/(A94-A93)),"")))</f>
        <v/>
      </c>
      <c r="V92" s="67" t="str">
        <f>IF(A93="","",IF(A94="",IF(YEAR(A93)=2009,SUM(D$12:D93),""),IF(AND(YEAR(A93)=2009,YEAR(A94)=2010),SUM(D$12:D93,D94*(V$8-A93)/(A94-A93)),"")))</f>
        <v/>
      </c>
      <c r="W92" s="67" t="str">
        <f>IF(A93="","",IF(A94="",IF(YEAR(A93)=2010,SUM(D$12:D93),""),IF(AND(YEAR(A93)=2010,YEAR(A94)=2011),SUM(D$12:D93,D94*(W$8-A93)/(A94-A93)),"")))</f>
        <v/>
      </c>
      <c r="X92" s="67" t="str">
        <f>IF(A93="","",IF(A94="",IF(YEAR(A93)=2011,SUM(D$12:D93),""),IF(AND(YEAR(A93)=2011,YEAR(A94)=2012),SUM(D$12:D93,D94*(X$8-A93)/(A94-A93)),"")))</f>
        <v/>
      </c>
      <c r="Y92" s="72" t="str">
        <f>IF(A93="","",IF(A94="",IF(YEAR(A93)=2012,SUM(D$12:D93),""),IF(AND(YEAR(A93)=2012,YEAR(A94)=2013),SUM(D$12:D93,D94*(Y$8-A93)/(A94-A93)),"")))</f>
        <v/>
      </c>
      <c r="Z92" s="67" t="str">
        <f>IF($A93="","",IF($A94="",IF(YEAR($A93)=2002,SUM($J$12:$J93),""),IF(AND(YEAR($A93)=2002,YEAR($A94)=2003),SUM($J$12:$J93,$J94*(O$8-$A93)/($A94-$A93)),"")))</f>
        <v/>
      </c>
      <c r="AA92" s="67" t="str">
        <f>IF($A93="","",IF($A94="",IF(YEAR($A93)=2003,SUM($J$12:$J93),""),IF(AND(YEAR($A93)=2003,YEAR($A94)=2004),SUM($J$12:$J93,$J94*(P$8-$A93)/($A94-$A93)),"")))</f>
        <v/>
      </c>
      <c r="AB92" s="67" t="str">
        <f>IF($A93="","",IF($A94="",IF(YEAR($A93)=2004,SUM($J$12:$J93),""),IF(AND(YEAR($A93)=2004,YEAR($A94)=2005),SUM($J$12:$J93,$J94*(Q$8-$A93)/($A94-$A93)),"")))</f>
        <v/>
      </c>
      <c r="AC92" s="67" t="str">
        <f>IF($A93="","",IF($A94="",IF(YEAR($A93)=2005,SUM($J$12:$J93),""),IF(AND(YEAR($A93)=2005,YEAR($A94)=2006),SUM($J$12:$J93,$J94*(R$8-$A93)/($A94-$A93)),"")))</f>
        <v/>
      </c>
      <c r="AD92" s="67" t="str">
        <f>IF($A93="","",IF($A94="",IF(YEAR($A93)=2006,SUM($J$12:$J93),""),IF(AND(YEAR($A93)=2006,YEAR($A94)=2007),SUM($J$12:$J93,$J94*(S$8-$A93)/($A94-$A93)),"")))</f>
        <v/>
      </c>
      <c r="AE92" s="67" t="str">
        <f>IF($A93="","",IF($A94="",IF(YEAR($A93)=2007,SUM($J$12:$J93),""),IF(AND(YEAR($A93)=2007,YEAR($A94)=2008),SUM($J$12:$J93,$J94*(T$8-$A93)/($A94-$A93)),"")))</f>
        <v/>
      </c>
      <c r="AF92" s="67" t="str">
        <f>IF($A93="","",IF($A94="",IF(YEAR($A93)=2008,SUM($J$12:$J93),""),IF(AND(YEAR($A93)=2008,YEAR($A94)=2009),SUM($J$12:$J93,$J94*(U$8-$A93)/($A94-$A93)),"")))</f>
        <v/>
      </c>
      <c r="AG92" s="67" t="str">
        <f>IF($A93="","",IF($A94="",IF(YEAR($A93)=2009,SUM($J$12:$J93),""),IF(AND(YEAR($A93)=2009,YEAR($A94)=2010),SUM($J$12:$J93,$J94*(V$8-$A93)/($A94-$A93)),"")))</f>
        <v/>
      </c>
      <c r="AH92" s="67" t="str">
        <f>IF($A93="","",IF($A94="",IF(YEAR($A93)=2010,SUM($J$12:$J93),""),IF(AND(YEAR($A93)=2010,YEAR($A94)=2011),SUM($J$12:$J93,$J94*(W$8-$A93)/($A94-$A93)),"")))</f>
        <v/>
      </c>
      <c r="AI92" s="67" t="str">
        <f>IF($A93="","",IF($A94="",IF(YEAR($A93)=2011,SUM($J$12:$J93),""),IF(AND(YEAR($A93)=2011,YEAR($A94)=2012),SUM($J$12:$J93,$J94*(X$8-$A93)/($A94-$A93)),"")))</f>
        <v/>
      </c>
      <c r="AJ92" s="67" t="str">
        <f>IF($A93="","",IF($A94="",IF(YEAR($A93)=2012,SUM($J$12:$J93),""),IF(AND(YEAR($A93)=2012,YEAR($A94)=2013),SUM($J$12:$J93,$J94*(Y$8-$A93)/($A94-$A93)),"")))</f>
        <v/>
      </c>
    </row>
    <row r="93" spans="1:36" x14ac:dyDescent="0.2">
      <c r="A93" s="309" t="str">
        <f t="shared" si="3"/>
        <v/>
      </c>
      <c r="B93" s="168" t="str">
        <f>IF($E$5*$E$7&lt;81," ",81)</f>
        <v xml:space="preserve"> </v>
      </c>
      <c r="C93" s="201" t="str">
        <f>IF(AND(B91=" ",B92=" ",B93=" ")," ",IF(B92=" ",SUM(C$13:C91),IF(B93=" "," ",D93+E93)))</f>
        <v xml:space="preserve"> </v>
      </c>
      <c r="D93" s="201" t="str">
        <f>IF(AND(B91=" ",B92=" ",B93=" ")," ",IF(B92=" ",SUM(D$13:D91),IF(B93=" "," ",ROUND(F92*E$6/E$7,2))))</f>
        <v xml:space="preserve"> </v>
      </c>
      <c r="E93" s="201" t="str">
        <f>IF(AND(B91=" ",B92=" ",B93=" ")," ",IF(B92=" ",SUM(E$13:E91),IF(B93=" "," ",E$8)))</f>
        <v xml:space="preserve"> </v>
      </c>
      <c r="F93" s="201" t="str">
        <f>IF(AND(B91=" ",B92=" ",B93=" ")," ",IF(B92=" ",SUM(F$12:F90),IF(B93=" "," ",F92-E93)))</f>
        <v xml:space="preserve"> </v>
      </c>
      <c r="G93" s="201" t="str">
        <f>IF(AND(B91=" ",B92=" ",B93=" ")," ",IF(B92=" ",SUM(G$12:G91),IF(B94=" ",IF(E$5*E$7=B93,C93-C$7+C$8+G$10," "),C93)))</f>
        <v xml:space="preserve"> </v>
      </c>
      <c r="H93" s="204" t="str">
        <f>IF(AND(B91=" ",B92=" ",B93=" ")," ",IF(B92=" ",SUM(H$13:H91)*E$7,IF(B93=" "," ",IF(B94=" ",IF(E$5*E$7=B93,IRR(G$12:G93,0.01)," ")," "))))</f>
        <v xml:space="preserve"> </v>
      </c>
      <c r="I93" s="202" t="str">
        <f t="shared" si="4"/>
        <v/>
      </c>
      <c r="J93" s="202" t="str">
        <f t="shared" si="5"/>
        <v/>
      </c>
      <c r="K93" s="55"/>
      <c r="L93" s="56"/>
      <c r="O93" s="67"/>
      <c r="P93" s="67" t="str">
        <f>IF($A94="","",IF($A95="",IF(YEAR($A94)=2003,SUM($D$12:$D94),""),IF(AND(YEAR($A94)=2003,YEAR($A95)=2004),SUM($D$12:$D94,$D95*(P$8-$A94)/($A95-$A94)),"")))</f>
        <v/>
      </c>
      <c r="Q93" s="67" t="str">
        <f>IF(A94="","",IF(A95="",IF(YEAR(A94)=2004,SUM(D$12:D94),""),IF(AND(YEAR(A94)=2004,YEAR(A95)=2005),SUM(D$12:D94,D95*(Q$8-A94)/(A95-A94)),"")))</f>
        <v/>
      </c>
      <c r="R93" s="67" t="str">
        <f>IF(A94="","",IF(A95="",IF(YEAR(A94)=2005,SUM(D$12:D94),""),IF(AND(YEAR(A94)=2005,YEAR(A95)=2006),SUM(D$12:D94,D95*(R$8-A94)/(A95-A94)),"")))</f>
        <v/>
      </c>
      <c r="S93" s="67" t="str">
        <f>IF(A94="","",IF(A95="",IF(YEAR(A94)=2006,SUM(D$12:D94),""),IF(AND(YEAR(A94)=2006,YEAR(A95)=2007),SUM(D$12:D94,D95*(S$8-A94)/(A95-A94)),"")))</f>
        <v/>
      </c>
      <c r="T93" s="67" t="str">
        <f>IF(A94="","",IF(A95="",IF(YEAR(A94)=2007,SUM(D$12:D94),""),IF(AND(YEAR(A94)=2007,YEAR(A95)=2008),SUM(D$12:D94,D95*(T$8-A94)/(A95-A94)),"")))</f>
        <v/>
      </c>
      <c r="U93" s="67" t="str">
        <f>IF(A94="","",IF(A95="",IF(YEAR(A94)=2008,SUM(D$12:D94),""),IF(AND(YEAR(A94)=2008,YEAR(A95)=2009),SUM(D$12:D94,D95*(U$8-A94)/(A95-A94)),"")))</f>
        <v/>
      </c>
      <c r="V93" s="67" t="str">
        <f>IF(A94="","",IF(A95="",IF(YEAR(A94)=2009,SUM(D$12:D94),""),IF(AND(YEAR(A94)=2009,YEAR(A95)=2010),SUM(D$12:D94,D95*(V$8-A94)/(A95-A94)),"")))</f>
        <v/>
      </c>
      <c r="W93" s="67" t="str">
        <f>IF(A94="","",IF(A95="",IF(YEAR(A94)=2010,SUM(D$12:D94),""),IF(AND(YEAR(A94)=2010,YEAR(A95)=2011),SUM(D$12:D94,D95*(W$8-A94)/(A95-A94)),"")))</f>
        <v/>
      </c>
      <c r="X93" s="67" t="str">
        <f>IF(A94="","",IF(A95="",IF(YEAR(A94)=2011,SUM(D$12:D94),""),IF(AND(YEAR(A94)=2011,YEAR(A95)=2012),SUM(D$12:D94,D95*(X$8-A94)/(A95-A94)),"")))</f>
        <v/>
      </c>
      <c r="Y93" s="72" t="str">
        <f>IF(A94="","",IF(A95="",IF(YEAR(A94)=2012,SUM(D$12:D94),""),IF(AND(YEAR(A94)=2012,YEAR(A95)=2013),SUM(D$12:D94,D95*(Y$8-A94)/(A95-A94)),"")))</f>
        <v/>
      </c>
      <c r="Z93" s="67" t="str">
        <f>IF($A94="","",IF($A95="",IF(YEAR($A94)=2002,SUM($J$12:$J94),""),IF(AND(YEAR($A94)=2002,YEAR($A95)=2003),SUM($J$12:$J94,$J95*(O$8-$A94)/($A95-$A94)),"")))</f>
        <v/>
      </c>
      <c r="AA93" s="67" t="str">
        <f>IF($A94="","",IF($A95="",IF(YEAR($A94)=2003,SUM($J$12:$J94),""),IF(AND(YEAR($A94)=2003,YEAR($A95)=2004),SUM($J$12:$J94,$J95*(P$8-$A94)/($A95-$A94)),"")))</f>
        <v/>
      </c>
      <c r="AB93" s="67" t="str">
        <f>IF($A94="","",IF($A95="",IF(YEAR($A94)=2004,SUM($J$12:$J94),""),IF(AND(YEAR($A94)=2004,YEAR($A95)=2005),SUM($J$12:$J94,$J95*(Q$8-$A94)/($A95-$A94)),"")))</f>
        <v/>
      </c>
      <c r="AC93" s="67" t="str">
        <f>IF($A94="","",IF($A95="",IF(YEAR($A94)=2005,SUM($J$12:$J94),""),IF(AND(YEAR($A94)=2005,YEAR($A95)=2006),SUM($J$12:$J94,$J95*(R$8-$A94)/($A95-$A94)),"")))</f>
        <v/>
      </c>
      <c r="AD93" s="67" t="str">
        <f>IF($A94="","",IF($A95="",IF(YEAR($A94)=2006,SUM($J$12:$J94),""),IF(AND(YEAR($A94)=2006,YEAR($A95)=2007),SUM($J$12:$J94,$J95*(S$8-$A94)/($A95-$A94)),"")))</f>
        <v/>
      </c>
      <c r="AE93" s="67" t="str">
        <f>IF($A94="","",IF($A95="",IF(YEAR($A94)=2007,SUM($J$12:$J94),""),IF(AND(YEAR($A94)=2007,YEAR($A95)=2008),SUM($J$12:$J94,$J95*(T$8-$A94)/($A95-$A94)),"")))</f>
        <v/>
      </c>
      <c r="AF93" s="67" t="str">
        <f>IF($A94="","",IF($A95="",IF(YEAR($A94)=2008,SUM($J$12:$J94),""),IF(AND(YEAR($A94)=2008,YEAR($A95)=2009),SUM($J$12:$J94,$J95*(U$8-$A94)/($A95-$A94)),"")))</f>
        <v/>
      </c>
      <c r="AG93" s="67" t="str">
        <f>IF($A94="","",IF($A95="",IF(YEAR($A94)=2009,SUM($J$12:$J94),""),IF(AND(YEAR($A94)=2009,YEAR($A95)=2010),SUM($J$12:$J94,$J95*(V$8-$A94)/($A95-$A94)),"")))</f>
        <v/>
      </c>
      <c r="AH93" s="67" t="str">
        <f>IF($A94="","",IF($A95="",IF(YEAR($A94)=2010,SUM($J$12:$J94),""),IF(AND(YEAR($A94)=2010,YEAR($A95)=2011),SUM($J$12:$J94,$J95*(W$8-$A94)/($A95-$A94)),"")))</f>
        <v/>
      </c>
      <c r="AI93" s="67" t="str">
        <f>IF($A94="","",IF($A95="",IF(YEAR($A94)=2011,SUM($J$12:$J94),""),IF(AND(YEAR($A94)=2011,YEAR($A95)=2012),SUM($J$12:$J94,$J95*(X$8-$A94)/($A95-$A94)),"")))</f>
        <v/>
      </c>
      <c r="AJ93" s="67" t="str">
        <f>IF($A94="","",IF($A95="",IF(YEAR($A94)=2012,SUM($J$12:$J94),""),IF(AND(YEAR($A94)=2012,YEAR($A95)=2013),SUM($J$12:$J94,$J95*(Y$8-$A94)/($A95-$A94)),"")))</f>
        <v/>
      </c>
    </row>
    <row r="94" spans="1:36" x14ac:dyDescent="0.2">
      <c r="A94" s="309" t="str">
        <f t="shared" si="3"/>
        <v/>
      </c>
      <c r="B94" s="168" t="str">
        <f>IF($E$5*$E$7&lt;82," ",82)</f>
        <v xml:space="preserve"> </v>
      </c>
      <c r="C94" s="201" t="str">
        <f>IF(AND(B92=" ",B93=" ",B94=" ")," ",IF(B93=" ",SUM(C$13:C92),IF(B94=" "," ",D94+E94)))</f>
        <v xml:space="preserve"> </v>
      </c>
      <c r="D94" s="201" t="str">
        <f>IF(AND(B92=" ",B93=" ",B94=" ")," ",IF(B93=" ",SUM(D$13:D92),IF(B94=" "," ",ROUND(F93*E$6/E$7,2))))</f>
        <v xml:space="preserve"> </v>
      </c>
      <c r="E94" s="201" t="str">
        <f>IF(AND(B92=" ",B93=" ",B94=" ")," ",IF(B93=" ",SUM(E$13:E92),IF(B94=" "," ",E$8)))</f>
        <v xml:space="preserve"> </v>
      </c>
      <c r="F94" s="201" t="str">
        <f>IF(AND(B92=" ",B93=" ",B94=" ")," ",IF(B93=" ",SUM(F$12:F91),IF(B94=" "," ",F93-E94)))</f>
        <v xml:space="preserve"> </v>
      </c>
      <c r="G94" s="201" t="str">
        <f>IF(AND(B92=" ",B93=" ",B94=" ")," ",IF(B93=" ",SUM(G$12:G92),IF(B95=" ",IF(E$5*E$7=B94,C94-C$7+C$8+G$10," "),C94)))</f>
        <v xml:space="preserve"> </v>
      </c>
      <c r="H94" s="204" t="str">
        <f>IF(AND(B92=" ",B93=" ",B94=" ")," ",IF(B93=" ",SUM(H$13:H92)*E$7,IF(B94=" "," ",IF(B95=" ",IF(E$5*E$7=B94,IRR(G$12:G94,0.01)," ")," "))))</f>
        <v xml:space="preserve"> </v>
      </c>
      <c r="I94" s="202" t="str">
        <f t="shared" si="4"/>
        <v/>
      </c>
      <c r="J94" s="202" t="str">
        <f t="shared" si="5"/>
        <v/>
      </c>
      <c r="K94" s="55"/>
      <c r="L94" s="56"/>
      <c r="O94" s="67"/>
      <c r="P94" s="67" t="str">
        <f>IF($A95="","",IF($A96="",IF(YEAR($A95)=2003,SUM($D$12:$D95),""),IF(AND(YEAR($A95)=2003,YEAR($A96)=2004),SUM($D$12:$D95,$D96*(P$8-$A95)/($A96-$A95)),"")))</f>
        <v/>
      </c>
      <c r="Q94" s="67" t="str">
        <f>IF(A95="","",IF(A96="",IF(YEAR(A95)=2004,SUM(D$12:D95),""),IF(AND(YEAR(A95)=2004,YEAR(A96)=2005),SUM(D$12:D95,D96*(Q$8-A95)/(A96-A95)),"")))</f>
        <v/>
      </c>
      <c r="R94" s="67" t="str">
        <f>IF(A95="","",IF(A96="",IF(YEAR(A95)=2005,SUM(D$12:D95),""),IF(AND(YEAR(A95)=2005,YEAR(A96)=2006),SUM(D$12:D95,D96*(R$8-A95)/(A96-A95)),"")))</f>
        <v/>
      </c>
      <c r="S94" s="67" t="str">
        <f>IF(A95="","",IF(A96="",IF(YEAR(A95)=2006,SUM(D$12:D95),""),IF(AND(YEAR(A95)=2006,YEAR(A96)=2007),SUM(D$12:D95,D96*(S$8-A95)/(A96-A95)),"")))</f>
        <v/>
      </c>
      <c r="T94" s="67" t="str">
        <f>IF(A95="","",IF(A96="",IF(YEAR(A95)=2007,SUM(D$12:D95),""),IF(AND(YEAR(A95)=2007,YEAR(A96)=2008),SUM(D$12:D95,D96*(T$8-A95)/(A96-A95)),"")))</f>
        <v/>
      </c>
      <c r="U94" s="67" t="str">
        <f>IF(A95="","",IF(A96="",IF(YEAR(A95)=2008,SUM(D$12:D95),""),IF(AND(YEAR(A95)=2008,YEAR(A96)=2009),SUM(D$12:D95,D96*(U$8-A95)/(A96-A95)),"")))</f>
        <v/>
      </c>
      <c r="V94" s="67" t="str">
        <f>IF(A95="","",IF(A96="",IF(YEAR(A95)=2009,SUM(D$12:D95),""),IF(AND(YEAR(A95)=2009,YEAR(A96)=2010),SUM(D$12:D95,D96*(V$8-A95)/(A96-A95)),"")))</f>
        <v/>
      </c>
      <c r="W94" s="67" t="str">
        <f>IF(A95="","",IF(A96="",IF(YEAR(A95)=2010,SUM(D$12:D95),""),IF(AND(YEAR(A95)=2010,YEAR(A96)=2011),SUM(D$12:D95,D96*(W$8-A95)/(A96-A95)),"")))</f>
        <v/>
      </c>
      <c r="X94" s="67" t="str">
        <f>IF(A95="","",IF(A96="",IF(YEAR(A95)=2011,SUM(D$12:D95),""),IF(AND(YEAR(A95)=2011,YEAR(A96)=2012),SUM(D$12:D95,D96*(X$8-A95)/(A96-A95)),"")))</f>
        <v/>
      </c>
      <c r="Y94" s="72" t="str">
        <f>IF(A95="","",IF(A96="",IF(YEAR(A95)=2012,SUM(D$12:D95),""),IF(AND(YEAR(A95)=2012,YEAR(A96)=2013),SUM(D$12:D95,D96*(Y$8-A95)/(A96-A95)),"")))</f>
        <v/>
      </c>
      <c r="Z94" s="67" t="str">
        <f>IF($A95="","",IF($A96="",IF(YEAR($A95)=2002,SUM($J$12:$J95),""),IF(AND(YEAR($A95)=2002,YEAR($A96)=2003),SUM($J$12:$J95,$J96*(O$8-$A95)/($A96-$A95)),"")))</f>
        <v/>
      </c>
      <c r="AA94" s="67" t="str">
        <f>IF($A95="","",IF($A96="",IF(YEAR($A95)=2003,SUM($J$12:$J95),""),IF(AND(YEAR($A95)=2003,YEAR($A96)=2004),SUM($J$12:$J95,$J96*(P$8-$A95)/($A96-$A95)),"")))</f>
        <v/>
      </c>
      <c r="AB94" s="67" t="str">
        <f>IF($A95="","",IF($A96="",IF(YEAR($A95)=2004,SUM($J$12:$J95),""),IF(AND(YEAR($A95)=2004,YEAR($A96)=2005),SUM($J$12:$J95,$J96*(Q$8-$A95)/($A96-$A95)),"")))</f>
        <v/>
      </c>
      <c r="AC94" s="67" t="str">
        <f>IF($A95="","",IF($A96="",IF(YEAR($A95)=2005,SUM($J$12:$J95),""),IF(AND(YEAR($A95)=2005,YEAR($A96)=2006),SUM($J$12:$J95,$J96*(R$8-$A95)/($A96-$A95)),"")))</f>
        <v/>
      </c>
      <c r="AD94" s="67" t="str">
        <f>IF($A95="","",IF($A96="",IF(YEAR($A95)=2006,SUM($J$12:$J95),""),IF(AND(YEAR($A95)=2006,YEAR($A96)=2007),SUM($J$12:$J95,$J96*(S$8-$A95)/($A96-$A95)),"")))</f>
        <v/>
      </c>
      <c r="AE94" s="67" t="str">
        <f>IF($A95="","",IF($A96="",IF(YEAR($A95)=2007,SUM($J$12:$J95),""),IF(AND(YEAR($A95)=2007,YEAR($A96)=2008),SUM($J$12:$J95,$J96*(T$8-$A95)/($A96-$A95)),"")))</f>
        <v/>
      </c>
      <c r="AF94" s="67" t="str">
        <f>IF($A95="","",IF($A96="",IF(YEAR($A95)=2008,SUM($J$12:$J95),""),IF(AND(YEAR($A95)=2008,YEAR($A96)=2009),SUM($J$12:$J95,$J96*(U$8-$A95)/($A96-$A95)),"")))</f>
        <v/>
      </c>
      <c r="AG94" s="67" t="str">
        <f>IF($A95="","",IF($A96="",IF(YEAR($A95)=2009,SUM($J$12:$J95),""),IF(AND(YEAR($A95)=2009,YEAR($A96)=2010),SUM($J$12:$J95,$J96*(V$8-$A95)/($A96-$A95)),"")))</f>
        <v/>
      </c>
      <c r="AH94" s="67" t="str">
        <f>IF($A95="","",IF($A96="",IF(YEAR($A95)=2010,SUM($J$12:$J95),""),IF(AND(YEAR($A95)=2010,YEAR($A96)=2011),SUM($J$12:$J95,$J96*(W$8-$A95)/($A96-$A95)),"")))</f>
        <v/>
      </c>
      <c r="AI94" s="67" t="str">
        <f>IF($A95="","",IF($A96="",IF(YEAR($A95)=2011,SUM($J$12:$J95),""),IF(AND(YEAR($A95)=2011,YEAR($A96)=2012),SUM($J$12:$J95,$J96*(X$8-$A95)/($A96-$A95)),"")))</f>
        <v/>
      </c>
      <c r="AJ94" s="67" t="str">
        <f>IF($A95="","",IF($A96="",IF(YEAR($A95)=2012,SUM($J$12:$J95),""),IF(AND(YEAR($A95)=2012,YEAR($A96)=2013),SUM($J$12:$J95,$J96*(Y$8-$A95)/($A96-$A95)),"")))</f>
        <v/>
      </c>
    </row>
    <row r="95" spans="1:36" x14ac:dyDescent="0.2">
      <c r="A95" s="309" t="str">
        <f t="shared" si="3"/>
        <v/>
      </c>
      <c r="B95" s="168" t="str">
        <f>IF($E$5*$E$7&lt;83," ",83)</f>
        <v xml:space="preserve"> </v>
      </c>
      <c r="C95" s="201" t="str">
        <f>IF(AND(B93=" ",B94=" ",B95=" ")," ",IF(B94=" ",SUM(C$13:C93),IF(B95=" "," ",D95+E95)))</f>
        <v xml:space="preserve"> </v>
      </c>
      <c r="D95" s="201" t="str">
        <f>IF(AND(B93=" ",B94=" ",B95=" ")," ",IF(B94=" ",SUM(D$13:D93),IF(B95=" "," ",ROUND(F94*E$6/E$7,2))))</f>
        <v xml:space="preserve"> </v>
      </c>
      <c r="E95" s="201" t="str">
        <f>IF(AND(B93=" ",B94=" ",B95=" ")," ",IF(B94=" ",SUM(E$13:E93),IF(B95=" "," ",E$8)))</f>
        <v xml:space="preserve"> </v>
      </c>
      <c r="F95" s="201" t="str">
        <f>IF(AND(B93=" ",B94=" ",B95=" ")," ",IF(B94=" ",SUM(F$12:F92),IF(B95=" "," ",F94-E95)))</f>
        <v xml:space="preserve"> </v>
      </c>
      <c r="G95" s="201" t="str">
        <f>IF(AND(B93=" ",B94=" ",B95=" ")," ",IF(B94=" ",SUM(G$12:G93),IF(B96=" ",IF(E$5*E$7=B95,C95-C$7+C$8+G$10," "),C95)))</f>
        <v xml:space="preserve"> </v>
      </c>
      <c r="H95" s="204" t="str">
        <f>IF(AND(B93=" ",B94=" ",B95=" ")," ",IF(B94=" ",SUM(H$13:H93)*E$7,IF(B95=" "," ",IF(B96=" ",IF(E$5*E$7=B95,IRR(G$12:G95,0.01)," ")," "))))</f>
        <v xml:space="preserve"> </v>
      </c>
      <c r="I95" s="202" t="str">
        <f t="shared" si="4"/>
        <v/>
      </c>
      <c r="J95" s="202" t="str">
        <f t="shared" si="5"/>
        <v/>
      </c>
      <c r="K95" s="55"/>
      <c r="L95" s="56"/>
      <c r="O95" s="67"/>
      <c r="P95" s="67" t="str">
        <f>IF($A96="","",IF($A97="",IF(YEAR($A96)=2003,SUM($D$12:$D96),""),IF(AND(YEAR($A96)=2003,YEAR($A97)=2004),SUM($D$12:$D96,$D97*(P$8-$A96)/($A97-$A96)),"")))</f>
        <v/>
      </c>
      <c r="Q95" s="67" t="str">
        <f>IF(A96="","",IF(A97="",IF(YEAR(A96)=2004,SUM(D$12:D96),""),IF(AND(YEAR(A96)=2004,YEAR(A97)=2005),SUM(D$12:D96,D97*(Q$8-A96)/(A97-A96)),"")))</f>
        <v/>
      </c>
      <c r="R95" s="67" t="str">
        <f>IF(A96="","",IF(A97="",IF(YEAR(A96)=2005,SUM(D$12:D96),""),IF(AND(YEAR(A96)=2005,YEAR(A97)=2006),SUM(D$12:D96,D97*(R$8-A96)/(A97-A96)),"")))</f>
        <v/>
      </c>
      <c r="S95" s="67" t="str">
        <f>IF(A96="","",IF(A97="",IF(YEAR(A96)=2006,SUM(D$12:D96),""),IF(AND(YEAR(A96)=2006,YEAR(A97)=2007),SUM(D$12:D96,D97*(S$8-A96)/(A97-A96)),"")))</f>
        <v/>
      </c>
      <c r="T95" s="67" t="str">
        <f>IF(A96="","",IF(A97="",IF(YEAR(A96)=2007,SUM(D$12:D96),""),IF(AND(YEAR(A96)=2007,YEAR(A97)=2008),SUM(D$12:D96,D97*(T$8-A96)/(A97-A96)),"")))</f>
        <v/>
      </c>
      <c r="U95" s="67" t="str">
        <f>IF(A96="","",IF(A97="",IF(YEAR(A96)=2008,SUM(D$12:D96),""),IF(AND(YEAR(A96)=2008,YEAR(A97)=2009),SUM(D$12:D96,D97*(U$8-A96)/(A97-A96)),"")))</f>
        <v/>
      </c>
      <c r="V95" s="67" t="str">
        <f>IF(A96="","",IF(A97="",IF(YEAR(A96)=2009,SUM(D$12:D96),""),IF(AND(YEAR(A96)=2009,YEAR(A97)=2010),SUM(D$12:D96,D97*(V$8-A96)/(A97-A96)),"")))</f>
        <v/>
      </c>
      <c r="W95" s="67" t="str">
        <f>IF(A96="","",IF(A97="",IF(YEAR(A96)=2010,SUM(D$12:D96),""),IF(AND(YEAR(A96)=2010,YEAR(A97)=2011),SUM(D$12:D96,D97*(W$8-A96)/(A97-A96)),"")))</f>
        <v/>
      </c>
      <c r="X95" s="67" t="str">
        <f>IF(A96="","",IF(A97="",IF(YEAR(A96)=2011,SUM(D$12:D96),""),IF(AND(YEAR(A96)=2011,YEAR(A97)=2012),SUM(D$12:D96,D97*(X$8-A96)/(A97-A96)),"")))</f>
        <v/>
      </c>
      <c r="Y95" s="72" t="str">
        <f>IF(A96="","",IF(A97="",IF(YEAR(A96)=2012,SUM(D$12:D96),""),IF(AND(YEAR(A96)=2012,YEAR(A97)=2013),SUM(D$12:D96,D97*(Y$8-A96)/(A97-A96)),"")))</f>
        <v/>
      </c>
      <c r="Z95" s="67" t="str">
        <f>IF($A96="","",IF($A97="",IF(YEAR($A96)=2002,SUM($J$12:$J96),""),IF(AND(YEAR($A96)=2002,YEAR($A97)=2003),SUM($J$12:$J96,$J97*(O$8-$A96)/($A97-$A96)),"")))</f>
        <v/>
      </c>
      <c r="AA95" s="67" t="str">
        <f>IF($A96="","",IF($A97="",IF(YEAR($A96)=2003,SUM($J$12:$J96),""),IF(AND(YEAR($A96)=2003,YEAR($A97)=2004),SUM($J$12:$J96,$J97*(P$8-$A96)/($A97-$A96)),"")))</f>
        <v/>
      </c>
      <c r="AB95" s="67" t="str">
        <f>IF($A96="","",IF($A97="",IF(YEAR($A96)=2004,SUM($J$12:$J96),""),IF(AND(YEAR($A96)=2004,YEAR($A97)=2005),SUM($J$12:$J96,$J97*(Q$8-$A96)/($A97-$A96)),"")))</f>
        <v/>
      </c>
      <c r="AC95" s="67" t="str">
        <f>IF($A96="","",IF($A97="",IF(YEAR($A96)=2005,SUM($J$12:$J96),""),IF(AND(YEAR($A96)=2005,YEAR($A97)=2006),SUM($J$12:$J96,$J97*(R$8-$A96)/($A97-$A96)),"")))</f>
        <v/>
      </c>
      <c r="AD95" s="67" t="str">
        <f>IF($A96="","",IF($A97="",IF(YEAR($A96)=2006,SUM($J$12:$J96),""),IF(AND(YEAR($A96)=2006,YEAR($A97)=2007),SUM($J$12:$J96,$J97*(S$8-$A96)/($A97-$A96)),"")))</f>
        <v/>
      </c>
      <c r="AE95" s="67" t="str">
        <f>IF($A96="","",IF($A97="",IF(YEAR($A96)=2007,SUM($J$12:$J96),""),IF(AND(YEAR($A96)=2007,YEAR($A97)=2008),SUM($J$12:$J96,$J97*(T$8-$A96)/($A97-$A96)),"")))</f>
        <v/>
      </c>
      <c r="AF95" s="67" t="str">
        <f>IF($A96="","",IF($A97="",IF(YEAR($A96)=2008,SUM($J$12:$J96),""),IF(AND(YEAR($A96)=2008,YEAR($A97)=2009),SUM($J$12:$J96,$J97*(U$8-$A96)/($A97-$A96)),"")))</f>
        <v/>
      </c>
      <c r="AG95" s="67" t="str">
        <f>IF($A96="","",IF($A97="",IF(YEAR($A96)=2009,SUM($J$12:$J96),""),IF(AND(YEAR($A96)=2009,YEAR($A97)=2010),SUM($J$12:$J96,$J97*(V$8-$A96)/($A97-$A96)),"")))</f>
        <v/>
      </c>
      <c r="AH95" s="67" t="str">
        <f>IF($A96="","",IF($A97="",IF(YEAR($A96)=2010,SUM($J$12:$J96),""),IF(AND(YEAR($A96)=2010,YEAR($A97)=2011),SUM($J$12:$J96,$J97*(W$8-$A96)/($A97-$A96)),"")))</f>
        <v/>
      </c>
      <c r="AI95" s="67" t="str">
        <f>IF($A96="","",IF($A97="",IF(YEAR($A96)=2011,SUM($J$12:$J96),""),IF(AND(YEAR($A96)=2011,YEAR($A97)=2012),SUM($J$12:$J96,$J97*(X$8-$A96)/($A97-$A96)),"")))</f>
        <v/>
      </c>
      <c r="AJ95" s="67" t="str">
        <f>IF($A96="","",IF($A97="",IF(YEAR($A96)=2012,SUM($J$12:$J96),""),IF(AND(YEAR($A96)=2012,YEAR($A97)=2013),SUM($J$12:$J96,$J97*(Y$8-$A96)/($A97-$A96)),"")))</f>
        <v/>
      </c>
    </row>
    <row r="96" spans="1:36" x14ac:dyDescent="0.2">
      <c r="A96" s="309" t="str">
        <f t="shared" si="3"/>
        <v/>
      </c>
      <c r="B96" s="168" t="str">
        <f>IF($E$5*$E$7&lt;84," ",84)</f>
        <v xml:space="preserve"> </v>
      </c>
      <c r="C96" s="201" t="str">
        <f>IF(AND(B94=" ",B95=" ",B96=" ")," ",IF(B95=" ",SUM(C$13:C94),IF(B96=" "," ",D96+E96)))</f>
        <v xml:space="preserve"> </v>
      </c>
      <c r="D96" s="201" t="str">
        <f>IF(AND(B94=" ",B95=" ",B96=" ")," ",IF(B95=" ",SUM(D$13:D94),IF(B96=" "," ",ROUND(F95*E$6/E$7,2))))</f>
        <v xml:space="preserve"> </v>
      </c>
      <c r="E96" s="201" t="str">
        <f>IF(AND(B94=" ",B95=" ",B96=" ")," ",IF(B95=" ",SUM(E$13:E94),IF(B96=" "," ",E$8)))</f>
        <v xml:space="preserve"> </v>
      </c>
      <c r="F96" s="201" t="str">
        <f>IF(AND(B94=" ",B95=" ",B96=" ")," ",IF(B95=" ",SUM(F$12:F93),IF(B96=" "," ",F95-E96)))</f>
        <v xml:space="preserve"> </v>
      </c>
      <c r="G96" s="201" t="str">
        <f>IF(AND(B94=" ",B95=" ",B96=" ")," ",IF(B95=" ",SUM(G$12:G94),IF(B97=" ",IF(E$5*E$7=B96,C96-C$7+C$8+G$10," "),C96)))</f>
        <v xml:space="preserve"> </v>
      </c>
      <c r="H96" s="204" t="str">
        <f>IF(AND(B94=" ",B95=" ",B96=" ")," ",IF(B95=" ",SUM(H$13:H94)*E$7,IF(B96=" "," ",IF(B97=" ",IF(E$5*E$7=B96,IRR(G$12:G96,0.01)," ")," "))))</f>
        <v xml:space="preserve"> </v>
      </c>
      <c r="I96" s="202" t="str">
        <f t="shared" si="4"/>
        <v/>
      </c>
      <c r="J96" s="202" t="str">
        <f t="shared" si="5"/>
        <v/>
      </c>
      <c r="K96" s="55"/>
      <c r="L96" s="56"/>
      <c r="O96" s="67"/>
      <c r="P96" s="67" t="str">
        <f>IF($A97="","",IF($A98="",IF(YEAR($A97)=2003,SUM($D$12:$D97),""),IF(AND(YEAR($A97)=2003,YEAR($A98)=2004),SUM($D$12:$D97,$D98*(P$8-$A97)/($A98-$A97)),"")))</f>
        <v/>
      </c>
      <c r="Q96" s="67" t="str">
        <f>IF(A97="","",IF(A98="",IF(YEAR(A97)=2004,SUM(D$12:D97),""),IF(AND(YEAR(A97)=2004,YEAR(A98)=2005),SUM(D$12:D97,D98*(Q$8-A97)/(A98-A97)),"")))</f>
        <v/>
      </c>
      <c r="R96" s="67" t="str">
        <f>IF(A97="","",IF(A98="",IF(YEAR(A97)=2005,SUM(D$12:D97),""),IF(AND(YEAR(A97)=2005,YEAR(A98)=2006),SUM(D$12:D97,D98*(R$8-A97)/(A98-A97)),"")))</f>
        <v/>
      </c>
      <c r="S96" s="67" t="str">
        <f>IF(A97="","",IF(A98="",IF(YEAR(A97)=2006,SUM(D$12:D97),""),IF(AND(YEAR(A97)=2006,YEAR(A98)=2007),SUM(D$12:D97,D98*(S$8-A97)/(A98-A97)),"")))</f>
        <v/>
      </c>
      <c r="T96" s="67" t="str">
        <f>IF(A97="","",IF(A98="",IF(YEAR(A97)=2007,SUM(D$12:D97),""),IF(AND(YEAR(A97)=2007,YEAR(A98)=2008),SUM(D$12:D97,D98*(T$8-A97)/(A98-A97)),"")))</f>
        <v/>
      </c>
      <c r="U96" s="67" t="str">
        <f>IF(A97="","",IF(A98="",IF(YEAR(A97)=2008,SUM(D$12:D97),""),IF(AND(YEAR(A97)=2008,YEAR(A98)=2009),SUM(D$12:D97,D98*(U$8-A97)/(A98-A97)),"")))</f>
        <v/>
      </c>
      <c r="V96" s="67" t="str">
        <f>IF(A97="","",IF(A98="",IF(YEAR(A97)=2009,SUM(D$12:D97),""),IF(AND(YEAR(A97)=2009,YEAR(A98)=2010),SUM(D$12:D97,D98*(V$8-A97)/(A98-A97)),"")))</f>
        <v/>
      </c>
      <c r="W96" s="67" t="str">
        <f>IF(A97="","",IF(A98="",IF(YEAR(A97)=2010,SUM(D$12:D97),""),IF(AND(YEAR(A97)=2010,YEAR(A98)=2011),SUM(D$12:D97,D98*(W$8-A97)/(A98-A97)),"")))</f>
        <v/>
      </c>
      <c r="X96" s="67" t="str">
        <f>IF(A97="","",IF(A98="",IF(YEAR(A97)=2011,SUM(D$12:D97),""),IF(AND(YEAR(A97)=2011,YEAR(A98)=2012),SUM(D$12:D97,D98*(X$8-A97)/(A98-A97)),"")))</f>
        <v/>
      </c>
      <c r="Y96" s="72" t="str">
        <f>IF(A97="","",IF(A98="",IF(YEAR(A97)=2012,SUM(D$12:D97),""),IF(AND(YEAR(A97)=2012,YEAR(A98)=2013),SUM(D$12:D97,D98*(Y$8-A97)/(A98-A97)),"")))</f>
        <v/>
      </c>
      <c r="Z96" s="67" t="str">
        <f>IF($A97="","",IF($A98="",IF(YEAR($A97)=2002,SUM($J$12:$J97),""),IF(AND(YEAR($A97)=2002,YEAR($A98)=2003),SUM($J$12:$J97,$J98*(O$8-$A97)/($A98-$A97)),"")))</f>
        <v/>
      </c>
      <c r="AA96" s="67" t="str">
        <f>IF($A97="","",IF($A98="",IF(YEAR($A97)=2003,SUM($J$12:$J97),""),IF(AND(YEAR($A97)=2003,YEAR($A98)=2004),SUM($J$12:$J97,$J98*(P$8-$A97)/($A98-$A97)),"")))</f>
        <v/>
      </c>
      <c r="AB96" s="67" t="str">
        <f>IF($A97="","",IF($A98="",IF(YEAR($A97)=2004,SUM($J$12:$J97),""),IF(AND(YEAR($A97)=2004,YEAR($A98)=2005),SUM($J$12:$J97,$J98*(Q$8-$A97)/($A98-$A97)),"")))</f>
        <v/>
      </c>
      <c r="AC96" s="67" t="str">
        <f>IF($A97="","",IF($A98="",IF(YEAR($A97)=2005,SUM($J$12:$J97),""),IF(AND(YEAR($A97)=2005,YEAR($A98)=2006),SUM($J$12:$J97,$J98*(R$8-$A97)/($A98-$A97)),"")))</f>
        <v/>
      </c>
      <c r="AD96" s="67" t="str">
        <f>IF($A97="","",IF($A98="",IF(YEAR($A97)=2006,SUM($J$12:$J97),""),IF(AND(YEAR($A97)=2006,YEAR($A98)=2007),SUM($J$12:$J97,$J98*(S$8-$A97)/($A98-$A97)),"")))</f>
        <v/>
      </c>
      <c r="AE96" s="67" t="str">
        <f>IF($A97="","",IF($A98="",IF(YEAR($A97)=2007,SUM($J$12:$J97),""),IF(AND(YEAR($A97)=2007,YEAR($A98)=2008),SUM($J$12:$J97,$J98*(T$8-$A97)/($A98-$A97)),"")))</f>
        <v/>
      </c>
      <c r="AF96" s="67" t="str">
        <f>IF($A97="","",IF($A98="",IF(YEAR($A97)=2008,SUM($J$12:$J97),""),IF(AND(YEAR($A97)=2008,YEAR($A98)=2009),SUM($J$12:$J97,$J98*(U$8-$A97)/($A98-$A97)),"")))</f>
        <v/>
      </c>
      <c r="AG96" s="67" t="str">
        <f>IF($A97="","",IF($A98="",IF(YEAR($A97)=2009,SUM($J$12:$J97),""),IF(AND(YEAR($A97)=2009,YEAR($A98)=2010),SUM($J$12:$J97,$J98*(V$8-$A97)/($A98-$A97)),"")))</f>
        <v/>
      </c>
      <c r="AH96" s="67" t="str">
        <f>IF($A97="","",IF($A98="",IF(YEAR($A97)=2010,SUM($J$12:$J97),""),IF(AND(YEAR($A97)=2010,YEAR($A98)=2011),SUM($J$12:$J97,$J98*(W$8-$A97)/($A98-$A97)),"")))</f>
        <v/>
      </c>
      <c r="AI96" s="67" t="str">
        <f>IF($A97="","",IF($A98="",IF(YEAR($A97)=2011,SUM($J$12:$J97),""),IF(AND(YEAR($A97)=2011,YEAR($A98)=2012),SUM($J$12:$J97,$J98*(X$8-$A97)/($A98-$A97)),"")))</f>
        <v/>
      </c>
      <c r="AJ96" s="67" t="str">
        <f>IF($A97="","",IF($A98="",IF(YEAR($A97)=2012,SUM($J$12:$J97),""),IF(AND(YEAR($A97)=2012,YEAR($A98)=2013),SUM($J$12:$J97,$J98*(Y$8-$A97)/($A98-$A97)),"")))</f>
        <v/>
      </c>
    </row>
    <row r="97" spans="1:36" x14ac:dyDescent="0.2">
      <c r="A97" s="309" t="str">
        <f t="shared" si="3"/>
        <v/>
      </c>
      <c r="B97" s="168" t="str">
        <f>IF($E$5*$E$7&lt;85," ",85)</f>
        <v xml:space="preserve"> </v>
      </c>
      <c r="C97" s="201" t="str">
        <f>IF(AND(B95=" ",B96=" ",B97=" ")," ",IF(B96=" ",SUM(C$13:C95),IF(B97=" "," ",D97+E97)))</f>
        <v xml:space="preserve"> </v>
      </c>
      <c r="D97" s="201" t="str">
        <f>IF(AND(B95=" ",B96=" ",B97=" ")," ",IF(B96=" ",SUM(D$13:D95),IF(B97=" "," ",ROUND(F96*E$6/E$7,2))))</f>
        <v xml:space="preserve"> </v>
      </c>
      <c r="E97" s="201" t="str">
        <f>IF(AND(B95=" ",B96=" ",B97=" ")," ",IF(B96=" ",SUM(E$13:E95),IF(B97=" "," ",E$8)))</f>
        <v xml:space="preserve"> </v>
      </c>
      <c r="F97" s="201" t="str">
        <f>IF(AND(B95=" ",B96=" ",B97=" ")," ",IF(B96=" ",SUM(F$12:F94),IF(B97=" "," ",F96-E97)))</f>
        <v xml:space="preserve"> </v>
      </c>
      <c r="G97" s="201" t="str">
        <f>IF(AND(B95=" ",B96=" ",B97=" ")," ",IF(B96=" ",SUM(G$12:G95),IF(B98=" ",IF(E$5*E$7=B97,C97-C$7+C$8+G$10," "),C97)))</f>
        <v xml:space="preserve"> </v>
      </c>
      <c r="H97" s="204" t="str">
        <f>IF(AND(B95=" ",B96=" ",B97=" ")," ",IF(B96=" ",SUM(H$13:H95)*E$7,IF(B97=" "," ",IF(B98=" ",IF(E$5*E$7=B97,IRR(G$12:G97,0.01)," ")," "))))</f>
        <v xml:space="preserve"> </v>
      </c>
      <c r="I97" s="202" t="str">
        <f t="shared" si="4"/>
        <v/>
      </c>
      <c r="J97" s="202" t="str">
        <f t="shared" si="5"/>
        <v/>
      </c>
      <c r="K97" s="55"/>
      <c r="L97" s="56"/>
      <c r="O97" s="67"/>
      <c r="P97" s="67" t="str">
        <f>IF($A98="","",IF($A99="",IF(YEAR($A98)=2003,SUM($D$12:$D98),""),IF(AND(YEAR($A98)=2003,YEAR($A99)=2004),SUM($D$12:$D98,$D99*(P$8-$A98)/($A99-$A98)),"")))</f>
        <v/>
      </c>
      <c r="Q97" s="67" t="str">
        <f>IF(A98="","",IF(A99="",IF(YEAR(A98)=2004,SUM(D$12:D98),""),IF(AND(YEAR(A98)=2004,YEAR(A99)=2005),SUM(D$12:D98,D99*(Q$8-A98)/(A99-A98)),"")))</f>
        <v/>
      </c>
      <c r="R97" s="67" t="str">
        <f>IF(A98="","",IF(A99="",IF(YEAR(A98)=2005,SUM(D$12:D98),""),IF(AND(YEAR(A98)=2005,YEAR(A99)=2006),SUM(D$12:D98,D99*(R$8-A98)/(A99-A98)),"")))</f>
        <v/>
      </c>
      <c r="S97" s="67" t="str">
        <f>IF(A98="","",IF(A99="",IF(YEAR(A98)=2006,SUM(D$12:D98),""),IF(AND(YEAR(A98)=2006,YEAR(A99)=2007),SUM(D$12:D98,D99*(S$8-A98)/(A99-A98)),"")))</f>
        <v/>
      </c>
      <c r="T97" s="67" t="str">
        <f>IF(A98="","",IF(A99="",IF(YEAR(A98)=2007,SUM(D$12:D98),""),IF(AND(YEAR(A98)=2007,YEAR(A99)=2008),SUM(D$12:D98,D99*(T$8-A98)/(A99-A98)),"")))</f>
        <v/>
      </c>
      <c r="U97" s="67" t="str">
        <f>IF(A98="","",IF(A99="",IF(YEAR(A98)=2008,SUM(D$12:D98),""),IF(AND(YEAR(A98)=2008,YEAR(A99)=2009),SUM(D$12:D98,D99*(U$8-A98)/(A99-A98)),"")))</f>
        <v/>
      </c>
      <c r="V97" s="67" t="str">
        <f>IF(A98="","",IF(A99="",IF(YEAR(A98)=2009,SUM(D$12:D98),""),IF(AND(YEAR(A98)=2009,YEAR(A99)=2010),SUM(D$12:D98,D99*(V$8-A98)/(A99-A98)),"")))</f>
        <v/>
      </c>
      <c r="W97" s="67" t="str">
        <f>IF(A98="","",IF(A99="",IF(YEAR(A98)=2010,SUM(D$12:D98),""),IF(AND(YEAR(A98)=2010,YEAR(A99)=2011),SUM(D$12:D98,D99*(W$8-A98)/(A99-A98)),"")))</f>
        <v/>
      </c>
      <c r="X97" s="67" t="str">
        <f>IF(A98="","",IF(A99="",IF(YEAR(A98)=2011,SUM(D$12:D98),""),IF(AND(YEAR(A98)=2011,YEAR(A99)=2012),SUM(D$12:D98,D99*(X$8-A98)/(A99-A98)),"")))</f>
        <v/>
      </c>
      <c r="Y97" s="72" t="str">
        <f>IF(A98="","",IF(A99="",IF(YEAR(A98)=2012,SUM(D$12:D98),""),IF(AND(YEAR(A98)=2012,YEAR(A99)=2013),SUM(D$12:D98,D99*(Y$8-A98)/(A99-A98)),"")))</f>
        <v/>
      </c>
      <c r="Z97" s="67" t="str">
        <f>IF($A98="","",IF($A99="",IF(YEAR($A98)=2002,SUM($J$12:$J98),""),IF(AND(YEAR($A98)=2002,YEAR($A99)=2003),SUM($J$12:$J98,$J99*(O$8-$A98)/($A99-$A98)),"")))</f>
        <v/>
      </c>
      <c r="AA97" s="67" t="str">
        <f>IF($A98="","",IF($A99="",IF(YEAR($A98)=2003,SUM($J$12:$J98),""),IF(AND(YEAR($A98)=2003,YEAR($A99)=2004),SUM($J$12:$J98,$J99*(P$8-$A98)/($A99-$A98)),"")))</f>
        <v/>
      </c>
      <c r="AB97" s="67" t="str">
        <f>IF($A98="","",IF($A99="",IF(YEAR($A98)=2004,SUM($J$12:$J98),""),IF(AND(YEAR($A98)=2004,YEAR($A99)=2005),SUM($J$12:$J98,$J99*(Q$8-$A98)/($A99-$A98)),"")))</f>
        <v/>
      </c>
      <c r="AC97" s="67" t="str">
        <f>IF($A98="","",IF($A99="",IF(YEAR($A98)=2005,SUM($J$12:$J98),""),IF(AND(YEAR($A98)=2005,YEAR($A99)=2006),SUM($J$12:$J98,$J99*(R$8-$A98)/($A99-$A98)),"")))</f>
        <v/>
      </c>
      <c r="AD97" s="67" t="str">
        <f>IF($A98="","",IF($A99="",IF(YEAR($A98)=2006,SUM($J$12:$J98),""),IF(AND(YEAR($A98)=2006,YEAR($A99)=2007),SUM($J$12:$J98,$J99*(S$8-$A98)/($A99-$A98)),"")))</f>
        <v/>
      </c>
      <c r="AE97" s="67" t="str">
        <f>IF($A98="","",IF($A99="",IF(YEAR($A98)=2007,SUM($J$12:$J98),""),IF(AND(YEAR($A98)=2007,YEAR($A99)=2008),SUM($J$12:$J98,$J99*(T$8-$A98)/($A99-$A98)),"")))</f>
        <v/>
      </c>
      <c r="AF97" s="67" t="str">
        <f>IF($A98="","",IF($A99="",IF(YEAR($A98)=2008,SUM($J$12:$J98),""),IF(AND(YEAR($A98)=2008,YEAR($A99)=2009),SUM($J$12:$J98,$J99*(U$8-$A98)/($A99-$A98)),"")))</f>
        <v/>
      </c>
      <c r="AG97" s="67" t="str">
        <f>IF($A98="","",IF($A99="",IF(YEAR($A98)=2009,SUM($J$12:$J98),""),IF(AND(YEAR($A98)=2009,YEAR($A99)=2010),SUM($J$12:$J98,$J99*(V$8-$A98)/($A99-$A98)),"")))</f>
        <v/>
      </c>
      <c r="AH97" s="67" t="str">
        <f>IF($A98="","",IF($A99="",IF(YEAR($A98)=2010,SUM($J$12:$J98),""),IF(AND(YEAR($A98)=2010,YEAR($A99)=2011),SUM($J$12:$J98,$J99*(W$8-$A98)/($A99-$A98)),"")))</f>
        <v/>
      </c>
      <c r="AI97" s="67" t="str">
        <f>IF($A98="","",IF($A99="",IF(YEAR($A98)=2011,SUM($J$12:$J98),""),IF(AND(YEAR($A98)=2011,YEAR($A99)=2012),SUM($J$12:$J98,$J99*(X$8-$A98)/($A99-$A98)),"")))</f>
        <v/>
      </c>
      <c r="AJ97" s="67" t="str">
        <f>IF($A98="","",IF($A99="",IF(YEAR($A98)=2012,SUM($J$12:$J98),""),IF(AND(YEAR($A98)=2012,YEAR($A99)=2013),SUM($J$12:$J98,$J99*(Y$8-$A98)/($A99-$A98)),"")))</f>
        <v/>
      </c>
    </row>
    <row r="98" spans="1:36" x14ac:dyDescent="0.2">
      <c r="A98" s="309" t="str">
        <f t="shared" si="3"/>
        <v/>
      </c>
      <c r="B98" s="168" t="str">
        <f>IF($E$5*$E$7&lt;86," ",86)</f>
        <v xml:space="preserve"> </v>
      </c>
      <c r="C98" s="201" t="str">
        <f>IF(AND(B96=" ",B97=" ",B98=" ")," ",IF(B97=" ",SUM(C$13:C96),IF(B98=" "," ",D98+E98)))</f>
        <v xml:space="preserve"> </v>
      </c>
      <c r="D98" s="201" t="str">
        <f>IF(AND(B96=" ",B97=" ",B98=" ")," ",IF(B97=" ",SUM(D$13:D96),IF(B98=" "," ",ROUND(F97*E$6/E$7,2))))</f>
        <v xml:space="preserve"> </v>
      </c>
      <c r="E98" s="201" t="str">
        <f>IF(AND(B96=" ",B97=" ",B98=" ")," ",IF(B97=" ",SUM(E$13:E96),IF(B98=" "," ",E$8)))</f>
        <v xml:space="preserve"> </v>
      </c>
      <c r="F98" s="201" t="str">
        <f>IF(AND(B96=" ",B97=" ",B98=" ")," ",IF(B97=" ",SUM(F$12:F95),IF(B98=" "," ",F97-E98)))</f>
        <v xml:space="preserve"> </v>
      </c>
      <c r="G98" s="201" t="str">
        <f>IF(AND(B96=" ",B97=" ",B98=" ")," ",IF(B97=" ",SUM(G$12:G96),IF(B99=" ",IF(E$5*E$7=B98,C98-C$7+C$8+G$10," "),C98)))</f>
        <v xml:space="preserve"> </v>
      </c>
      <c r="H98" s="204" t="str">
        <f>IF(AND(B96=" ",B97=" ",B98=" ")," ",IF(B97=" ",SUM(H$13:H96)*E$7,IF(B98=" "," ",IF(B99=" ",IF(E$5*E$7=B98,IRR(G$12:G98,0.01)," ")," "))))</f>
        <v xml:space="preserve"> </v>
      </c>
      <c r="I98" s="202" t="str">
        <f t="shared" si="4"/>
        <v/>
      </c>
      <c r="J98" s="202" t="str">
        <f t="shared" si="5"/>
        <v/>
      </c>
      <c r="K98" s="55"/>
      <c r="L98" s="56"/>
      <c r="O98" s="67"/>
      <c r="P98" s="67" t="str">
        <f>IF($A99="","",IF($A100="",IF(YEAR($A99)=2003,SUM($D$12:$D99),""),IF(AND(YEAR($A99)=2003,YEAR($A100)=2004),SUM($D$12:$D99,$D100*(P$8-$A99)/($A100-$A99)),"")))</f>
        <v/>
      </c>
      <c r="Q98" s="67" t="str">
        <f>IF(A99="","",IF(A100="",IF(YEAR(A99)=2004,SUM(D$12:D99),""),IF(AND(YEAR(A99)=2004,YEAR(A100)=2005),SUM(D$12:D99,D100*(Q$8-A99)/(A100-A99)),"")))</f>
        <v/>
      </c>
      <c r="R98" s="67" t="str">
        <f>IF(A99="","",IF(A100="",IF(YEAR(A99)=2005,SUM(D$12:D99),""),IF(AND(YEAR(A99)=2005,YEAR(A100)=2006),SUM(D$12:D99,D100*(R$8-A99)/(A100-A99)),"")))</f>
        <v/>
      </c>
      <c r="S98" s="67" t="str">
        <f>IF(A99="","",IF(A100="",IF(YEAR(A99)=2006,SUM(D$12:D99),""),IF(AND(YEAR(A99)=2006,YEAR(A100)=2007),SUM(D$12:D99,D100*(S$8-A99)/(A100-A99)),"")))</f>
        <v/>
      </c>
      <c r="T98" s="67" t="str">
        <f>IF(A99="","",IF(A100="",IF(YEAR(A99)=2007,SUM(D$12:D99),""),IF(AND(YEAR(A99)=2007,YEAR(A100)=2008),SUM(D$12:D99,D100*(T$8-A99)/(A100-A99)),"")))</f>
        <v/>
      </c>
      <c r="U98" s="67" t="str">
        <f>IF(A99="","",IF(A100="",IF(YEAR(A99)=2008,SUM(D$12:D99),""),IF(AND(YEAR(A99)=2008,YEAR(A100)=2009),SUM(D$12:D99,D100*(U$8-A99)/(A100-A99)),"")))</f>
        <v/>
      </c>
      <c r="V98" s="67" t="str">
        <f>IF(A99="","",IF(A100="",IF(YEAR(A99)=2009,SUM(D$12:D99),""),IF(AND(YEAR(A99)=2009,YEAR(A100)=2010),SUM(D$12:D99,D100*(V$8-A99)/(A100-A99)),"")))</f>
        <v/>
      </c>
      <c r="W98" s="67" t="str">
        <f>IF(A99="","",IF(A100="",IF(YEAR(A99)=2010,SUM(D$12:D99),""),IF(AND(YEAR(A99)=2010,YEAR(A100)=2011),SUM(D$12:D99,D100*(W$8-A99)/(A100-A99)),"")))</f>
        <v/>
      </c>
      <c r="X98" s="67" t="str">
        <f>IF(A99="","",IF(A100="",IF(YEAR(A99)=2011,SUM(D$12:D99),""),IF(AND(YEAR(A99)=2011,YEAR(A100)=2012),SUM(D$12:D99,D100*(X$8-A99)/(A100-A99)),"")))</f>
        <v/>
      </c>
      <c r="Y98" s="72" t="str">
        <f>IF(A99="","",IF(A100="",IF(YEAR(A99)=2012,SUM(D$12:D99),""),IF(AND(YEAR(A99)=2012,YEAR(A100)=2013),SUM(D$12:D99,D100*(Y$8-A99)/(A100-A99)),"")))</f>
        <v/>
      </c>
      <c r="Z98" s="67" t="str">
        <f>IF($A99="","",IF($A100="",IF(YEAR($A99)=2002,SUM($J$12:$J99),""),IF(AND(YEAR($A99)=2002,YEAR($A100)=2003),SUM($J$12:$J99,$J100*(O$8-$A99)/($A100-$A99)),"")))</f>
        <v/>
      </c>
      <c r="AA98" s="67" t="str">
        <f>IF($A99="","",IF($A100="",IF(YEAR($A99)=2003,SUM($J$12:$J99),""),IF(AND(YEAR($A99)=2003,YEAR($A100)=2004),SUM($J$12:$J99,$J100*(P$8-$A99)/($A100-$A99)),"")))</f>
        <v/>
      </c>
      <c r="AB98" s="67" t="str">
        <f>IF($A99="","",IF($A100="",IF(YEAR($A99)=2004,SUM($J$12:$J99),""),IF(AND(YEAR($A99)=2004,YEAR($A100)=2005),SUM($J$12:$J99,$J100*(Q$8-$A99)/($A100-$A99)),"")))</f>
        <v/>
      </c>
      <c r="AC98" s="67" t="str">
        <f>IF($A99="","",IF($A100="",IF(YEAR($A99)=2005,SUM($J$12:$J99),""),IF(AND(YEAR($A99)=2005,YEAR($A100)=2006),SUM($J$12:$J99,$J100*(R$8-$A99)/($A100-$A99)),"")))</f>
        <v/>
      </c>
      <c r="AD98" s="67" t="str">
        <f>IF($A99="","",IF($A100="",IF(YEAR($A99)=2006,SUM($J$12:$J99),""),IF(AND(YEAR($A99)=2006,YEAR($A100)=2007),SUM($J$12:$J99,$J100*(S$8-$A99)/($A100-$A99)),"")))</f>
        <v/>
      </c>
      <c r="AE98" s="67" t="str">
        <f>IF($A99="","",IF($A100="",IF(YEAR($A99)=2007,SUM($J$12:$J99),""),IF(AND(YEAR($A99)=2007,YEAR($A100)=2008),SUM($J$12:$J99,$J100*(T$8-$A99)/($A100-$A99)),"")))</f>
        <v/>
      </c>
      <c r="AF98" s="67" t="str">
        <f>IF($A99="","",IF($A100="",IF(YEAR($A99)=2008,SUM($J$12:$J99),""),IF(AND(YEAR($A99)=2008,YEAR($A100)=2009),SUM($J$12:$J99,$J100*(U$8-$A99)/($A100-$A99)),"")))</f>
        <v/>
      </c>
      <c r="AG98" s="67" t="str">
        <f>IF($A99="","",IF($A100="",IF(YEAR($A99)=2009,SUM($J$12:$J99),""),IF(AND(YEAR($A99)=2009,YEAR($A100)=2010),SUM($J$12:$J99,$J100*(V$8-$A99)/($A100-$A99)),"")))</f>
        <v/>
      </c>
      <c r="AH98" s="67" t="str">
        <f>IF($A99="","",IF($A100="",IF(YEAR($A99)=2010,SUM($J$12:$J99),""),IF(AND(YEAR($A99)=2010,YEAR($A100)=2011),SUM($J$12:$J99,$J100*(W$8-$A99)/($A100-$A99)),"")))</f>
        <v/>
      </c>
      <c r="AI98" s="67" t="str">
        <f>IF($A99="","",IF($A100="",IF(YEAR($A99)=2011,SUM($J$12:$J99),""),IF(AND(YEAR($A99)=2011,YEAR($A100)=2012),SUM($J$12:$J99,$J100*(X$8-$A99)/($A100-$A99)),"")))</f>
        <v/>
      </c>
      <c r="AJ98" s="67" t="str">
        <f>IF($A99="","",IF($A100="",IF(YEAR($A99)=2012,SUM($J$12:$J99),""),IF(AND(YEAR($A99)=2012,YEAR($A100)=2013),SUM($J$12:$J99,$J100*(Y$8-$A99)/($A100-$A99)),"")))</f>
        <v/>
      </c>
    </row>
    <row r="99" spans="1:36" x14ac:dyDescent="0.2">
      <c r="A99" s="309" t="str">
        <f t="shared" si="3"/>
        <v/>
      </c>
      <c r="B99" s="168" t="str">
        <f>IF($E$5*$E$7&lt;87," ",87)</f>
        <v xml:space="preserve"> </v>
      </c>
      <c r="C99" s="201" t="str">
        <f>IF(AND(B97=" ",B98=" ",B99=" ")," ",IF(B98=" ",SUM(C$13:C97),IF(B99=" "," ",D99+E99)))</f>
        <v xml:space="preserve"> </v>
      </c>
      <c r="D99" s="201" t="str">
        <f>IF(AND(B97=" ",B98=" ",B99=" ")," ",IF(B98=" ",SUM(D$13:D97),IF(B99=" "," ",ROUND(F98*E$6/E$7,2))))</f>
        <v xml:space="preserve"> </v>
      </c>
      <c r="E99" s="201" t="str">
        <f>IF(AND(B97=" ",B98=" ",B99=" ")," ",IF(B98=" ",SUM(E$13:E97),IF(B99=" "," ",E$8)))</f>
        <v xml:space="preserve"> </v>
      </c>
      <c r="F99" s="201" t="str">
        <f>IF(AND(B97=" ",B98=" ",B99=" ")," ",IF(B98=" ",SUM(F$12:F96),IF(B99=" "," ",F98-E99)))</f>
        <v xml:space="preserve"> </v>
      </c>
      <c r="G99" s="201" t="str">
        <f>IF(AND(B97=" ",B98=" ",B99=" ")," ",IF(B98=" ",SUM(G$12:G97),IF(B100=" ",IF(E$5*E$7=B99,C99-C$7+C$8+G$10," "),C99)))</f>
        <v xml:space="preserve"> </v>
      </c>
      <c r="H99" s="204" t="str">
        <f>IF(AND(B97=" ",B98=" ",B99=" ")," ",IF(B98=" ",SUM(H$13:H97)*E$7,IF(B99=" "," ",IF(B100=" ",IF(E$5*E$7=B99,IRR(G$12:G99,0.01)," ")," "))))</f>
        <v xml:space="preserve"> </v>
      </c>
      <c r="I99" s="202" t="str">
        <f t="shared" si="4"/>
        <v/>
      </c>
      <c r="J99" s="202" t="str">
        <f t="shared" si="5"/>
        <v/>
      </c>
      <c r="K99" s="55"/>
      <c r="L99" s="56"/>
      <c r="O99" s="67"/>
      <c r="P99" s="67" t="str">
        <f>IF($A100="","",IF($A101="",IF(YEAR($A100)=2003,SUM($D$12:$D100),""),IF(AND(YEAR($A100)=2003,YEAR($A101)=2004),SUM($D$12:$D100,$D101*(P$8-$A100)/($A101-$A100)),"")))</f>
        <v/>
      </c>
      <c r="Q99" s="67" t="str">
        <f>IF(A100="","",IF(A101="",IF(YEAR(A100)=2004,SUM(D$12:D100),""),IF(AND(YEAR(A100)=2004,YEAR(A101)=2005),SUM(D$12:D100,D101*(Q$8-A100)/(A101-A100)),"")))</f>
        <v/>
      </c>
      <c r="R99" s="67" t="str">
        <f>IF(A100="","",IF(A101="",IF(YEAR(A100)=2005,SUM(D$12:D100),""),IF(AND(YEAR(A100)=2005,YEAR(A101)=2006),SUM(D$12:D100,D101*(R$8-A100)/(A101-A100)),"")))</f>
        <v/>
      </c>
      <c r="S99" s="67" t="str">
        <f>IF(A100="","",IF(A101="",IF(YEAR(A100)=2006,SUM(D$12:D100),""),IF(AND(YEAR(A100)=2006,YEAR(A101)=2007),SUM(D$12:D100,D101*(S$8-A100)/(A101-A100)),"")))</f>
        <v/>
      </c>
      <c r="T99" s="67" t="str">
        <f>IF(A100="","",IF(A101="",IF(YEAR(A100)=2007,SUM(D$12:D100),""),IF(AND(YEAR(A100)=2007,YEAR(A101)=2008),SUM(D$12:D100,D101*(T$8-A100)/(A101-A100)),"")))</f>
        <v/>
      </c>
      <c r="U99" s="67" t="str">
        <f>IF(A100="","",IF(A101="",IF(YEAR(A100)=2008,SUM(D$12:D100),""),IF(AND(YEAR(A100)=2008,YEAR(A101)=2009),SUM(D$12:D100,D101*(U$8-A100)/(A101-A100)),"")))</f>
        <v/>
      </c>
      <c r="V99" s="67" t="str">
        <f>IF(A100="","",IF(A101="",IF(YEAR(A100)=2009,SUM(D$12:D100),""),IF(AND(YEAR(A100)=2009,YEAR(A101)=2010),SUM(D$12:D100,D101*(V$8-A100)/(A101-A100)),"")))</f>
        <v/>
      </c>
      <c r="W99" s="67" t="str">
        <f>IF(A100="","",IF(A101="",IF(YEAR(A100)=2010,SUM(D$12:D100),""),IF(AND(YEAR(A100)=2010,YEAR(A101)=2011),SUM(D$12:D100,D101*(W$8-A100)/(A101-A100)),"")))</f>
        <v/>
      </c>
      <c r="X99" s="67" t="str">
        <f>IF(A100="","",IF(A101="",IF(YEAR(A100)=2011,SUM(D$12:D100),""),IF(AND(YEAR(A100)=2011,YEAR(A101)=2012),SUM(D$12:D100,D101*(X$8-A100)/(A101-A100)),"")))</f>
        <v/>
      </c>
      <c r="Y99" s="72" t="str">
        <f>IF(A100="","",IF(A101="",IF(YEAR(A100)=2012,SUM(D$12:D100),""),IF(AND(YEAR(A100)=2012,YEAR(A101)=2013),SUM(D$12:D100,D101*(Y$8-A100)/(A101-A100)),"")))</f>
        <v/>
      </c>
      <c r="Z99" s="67" t="str">
        <f>IF($A100="","",IF($A101="",IF(YEAR($A100)=2002,SUM($J$12:$J100),""),IF(AND(YEAR($A100)=2002,YEAR($A101)=2003),SUM($J$12:$J100,$J101*(O$8-$A100)/($A101-$A100)),"")))</f>
        <v/>
      </c>
      <c r="AA99" s="67" t="str">
        <f>IF($A100="","",IF($A101="",IF(YEAR($A100)=2003,SUM($J$12:$J100),""),IF(AND(YEAR($A100)=2003,YEAR($A101)=2004),SUM($J$12:$J100,$J101*(P$8-$A100)/($A101-$A100)),"")))</f>
        <v/>
      </c>
      <c r="AB99" s="67" t="str">
        <f>IF($A100="","",IF($A101="",IF(YEAR($A100)=2004,SUM($J$12:$J100),""),IF(AND(YEAR($A100)=2004,YEAR($A101)=2005),SUM($J$12:$J100,$J101*(Q$8-$A100)/($A101-$A100)),"")))</f>
        <v/>
      </c>
      <c r="AC99" s="67" t="str">
        <f>IF($A100="","",IF($A101="",IF(YEAR($A100)=2005,SUM($J$12:$J100),""),IF(AND(YEAR($A100)=2005,YEAR($A101)=2006),SUM($J$12:$J100,$J101*(R$8-$A100)/($A101-$A100)),"")))</f>
        <v/>
      </c>
      <c r="AD99" s="67" t="str">
        <f>IF($A100="","",IF($A101="",IF(YEAR($A100)=2006,SUM($J$12:$J100),""),IF(AND(YEAR($A100)=2006,YEAR($A101)=2007),SUM($J$12:$J100,$J101*(S$8-$A100)/($A101-$A100)),"")))</f>
        <v/>
      </c>
      <c r="AE99" s="67" t="str">
        <f>IF($A100="","",IF($A101="",IF(YEAR($A100)=2007,SUM($J$12:$J100),""),IF(AND(YEAR($A100)=2007,YEAR($A101)=2008),SUM($J$12:$J100,$J101*(T$8-$A100)/($A101-$A100)),"")))</f>
        <v/>
      </c>
      <c r="AF99" s="67" t="str">
        <f>IF($A100="","",IF($A101="",IF(YEAR($A100)=2008,SUM($J$12:$J100),""),IF(AND(YEAR($A100)=2008,YEAR($A101)=2009),SUM($J$12:$J100,$J101*(U$8-$A100)/($A101-$A100)),"")))</f>
        <v/>
      </c>
      <c r="AG99" s="67" t="str">
        <f>IF($A100="","",IF($A101="",IF(YEAR($A100)=2009,SUM($J$12:$J100),""),IF(AND(YEAR($A100)=2009,YEAR($A101)=2010),SUM($J$12:$J100,$J101*(V$8-$A100)/($A101-$A100)),"")))</f>
        <v/>
      </c>
      <c r="AH99" s="67" t="str">
        <f>IF($A100="","",IF($A101="",IF(YEAR($A100)=2010,SUM($J$12:$J100),""),IF(AND(YEAR($A100)=2010,YEAR($A101)=2011),SUM($J$12:$J100,$J101*(W$8-$A100)/($A101-$A100)),"")))</f>
        <v/>
      </c>
      <c r="AI99" s="67" t="str">
        <f>IF($A100="","",IF($A101="",IF(YEAR($A100)=2011,SUM($J$12:$J100),""),IF(AND(YEAR($A100)=2011,YEAR($A101)=2012),SUM($J$12:$J100,$J101*(X$8-$A100)/($A101-$A100)),"")))</f>
        <v/>
      </c>
      <c r="AJ99" s="67" t="str">
        <f>IF($A100="","",IF($A101="",IF(YEAR($A100)=2012,SUM($J$12:$J100),""),IF(AND(YEAR($A100)=2012,YEAR($A101)=2013),SUM($J$12:$J100,$J101*(Y$8-$A100)/($A101-$A100)),"")))</f>
        <v/>
      </c>
    </row>
    <row r="100" spans="1:36" x14ac:dyDescent="0.2">
      <c r="A100" s="309" t="str">
        <f t="shared" si="3"/>
        <v/>
      </c>
      <c r="B100" s="168" t="str">
        <f>IF($E$5*$E$7&lt;88," ",88)</f>
        <v xml:space="preserve"> </v>
      </c>
      <c r="C100" s="201" t="str">
        <f>IF(AND(B98=" ",B99=" ",B100=" ")," ",IF(B99=" ",SUM(C$13:C98),IF(B100=" "," ",D100+E100)))</f>
        <v xml:space="preserve"> </v>
      </c>
      <c r="D100" s="201" t="str">
        <f>IF(AND(B98=" ",B99=" ",B100=" ")," ",IF(B99=" ",SUM(D$13:D98),IF(B100=" "," ",ROUND(F99*E$6/E$7,2))))</f>
        <v xml:space="preserve"> </v>
      </c>
      <c r="E100" s="201" t="str">
        <f>IF(AND(B98=" ",B99=" ",B100=" ")," ",IF(B99=" ",SUM(E$13:E98),IF(B100=" "," ",E$8)))</f>
        <v xml:space="preserve"> </v>
      </c>
      <c r="F100" s="201" t="str">
        <f>IF(AND(B98=" ",B99=" ",B100=" ")," ",IF(B99=" ",SUM(F$12:F97),IF(B100=" "," ",F99-E100)))</f>
        <v xml:space="preserve"> </v>
      </c>
      <c r="G100" s="201" t="str">
        <f>IF(AND(B98=" ",B99=" ",B100=" ")," ",IF(B99=" ",SUM(G$12:G98),IF(B101=" ",IF(E$5*E$7=B100,C100-C$7+C$8+G$10," "),C100)))</f>
        <v xml:space="preserve"> </v>
      </c>
      <c r="H100" s="204" t="str">
        <f>IF(AND(B98=" ",B99=" ",B100=" ")," ",IF(B99=" ",SUM(H$13:H98)*E$7,IF(B100=" "," ",IF(B101=" ",IF(E$5*E$7=B100,IRR(G$12:G100,0.01)," ")," "))))</f>
        <v xml:space="preserve"> </v>
      </c>
      <c r="I100" s="202" t="str">
        <f t="shared" si="4"/>
        <v/>
      </c>
      <c r="J100" s="202" t="str">
        <f t="shared" si="5"/>
        <v/>
      </c>
      <c r="K100" s="55"/>
      <c r="L100" s="56"/>
      <c r="O100" s="67"/>
      <c r="P100" s="67" t="str">
        <f>IF($A101="","",IF($A102="",IF(YEAR($A101)=2003,SUM($D$12:$D101),""),IF(AND(YEAR($A101)=2003,YEAR($A102)=2004),SUM($D$12:$D101,$D102*(P$8-$A101)/($A102-$A101)),"")))</f>
        <v/>
      </c>
      <c r="Q100" s="67" t="str">
        <f>IF(A101="","",IF(A102="",IF(YEAR(A101)=2004,SUM(D$12:D101),""),IF(AND(YEAR(A101)=2004,YEAR(A102)=2005),SUM(D$12:D101,D102*(Q$8-A101)/(A102-A101)),"")))</f>
        <v/>
      </c>
      <c r="R100" s="67" t="str">
        <f>IF(A101="","",IF(A102="",IF(YEAR(A101)=2005,SUM(D$12:D101),""),IF(AND(YEAR(A101)=2005,YEAR(A102)=2006),SUM(D$12:D101,D102*(R$8-A101)/(A102-A101)),"")))</f>
        <v/>
      </c>
      <c r="S100" s="67" t="str">
        <f>IF(A101="","",IF(A102="",IF(YEAR(A101)=2006,SUM(D$12:D101),""),IF(AND(YEAR(A101)=2006,YEAR(A102)=2007),SUM(D$12:D101,D102*(S$8-A101)/(A102-A101)),"")))</f>
        <v/>
      </c>
      <c r="T100" s="67" t="str">
        <f>IF(A101="","",IF(A102="",IF(YEAR(A101)=2007,SUM(D$12:D101),""),IF(AND(YEAR(A101)=2007,YEAR(A102)=2008),SUM(D$12:D101,D102*(T$8-A101)/(A102-A101)),"")))</f>
        <v/>
      </c>
      <c r="U100" s="67" t="str">
        <f>IF(A101="","",IF(A102="",IF(YEAR(A101)=2008,SUM(D$12:D101),""),IF(AND(YEAR(A101)=2008,YEAR(A102)=2009),SUM(D$12:D101,D102*(U$8-A101)/(A102-A101)),"")))</f>
        <v/>
      </c>
      <c r="V100" s="67" t="str">
        <f>IF(A101="","",IF(A102="",IF(YEAR(A101)=2009,SUM(D$12:D101),""),IF(AND(YEAR(A101)=2009,YEAR(A102)=2010),SUM(D$12:D101,D102*(V$8-A101)/(A102-A101)),"")))</f>
        <v/>
      </c>
      <c r="W100" s="67" t="str">
        <f>IF(A101="","",IF(A102="",IF(YEAR(A101)=2010,SUM(D$12:D101),""),IF(AND(YEAR(A101)=2010,YEAR(A102)=2011),SUM(D$12:D101,D102*(W$8-A101)/(A102-A101)),"")))</f>
        <v/>
      </c>
      <c r="X100" s="67" t="str">
        <f>IF(A101="","",IF(A102="",IF(YEAR(A101)=2011,SUM(D$12:D101),""),IF(AND(YEAR(A101)=2011,YEAR(A102)=2012),SUM(D$12:D101,D102*(X$8-A101)/(A102-A101)),"")))</f>
        <v/>
      </c>
      <c r="Y100" s="72" t="str">
        <f>IF(A101="","",IF(A102="",IF(YEAR(A101)=2012,SUM(D$12:D101),""),IF(AND(YEAR(A101)=2012,YEAR(A102)=2013),SUM(D$12:D101,D102*(Y$8-A101)/(A102-A101)),"")))</f>
        <v/>
      </c>
      <c r="Z100" s="67" t="str">
        <f>IF($A101="","",IF($A102="",IF(YEAR($A101)=2002,SUM($J$12:$J101),""),IF(AND(YEAR($A101)=2002,YEAR($A102)=2003),SUM($J$12:$J101,$J102*(O$8-$A101)/($A102-$A101)),"")))</f>
        <v/>
      </c>
      <c r="AA100" s="67" t="str">
        <f>IF($A101="","",IF($A102="",IF(YEAR($A101)=2003,SUM($J$12:$J101),""),IF(AND(YEAR($A101)=2003,YEAR($A102)=2004),SUM($J$12:$J101,$J102*(P$8-$A101)/($A102-$A101)),"")))</f>
        <v/>
      </c>
      <c r="AB100" s="67" t="str">
        <f>IF($A101="","",IF($A102="",IF(YEAR($A101)=2004,SUM($J$12:$J101),""),IF(AND(YEAR($A101)=2004,YEAR($A102)=2005),SUM($J$12:$J101,$J102*(Q$8-$A101)/($A102-$A101)),"")))</f>
        <v/>
      </c>
      <c r="AC100" s="67" t="str">
        <f>IF($A101="","",IF($A102="",IF(YEAR($A101)=2005,SUM($J$12:$J101),""),IF(AND(YEAR($A101)=2005,YEAR($A102)=2006),SUM($J$12:$J101,$J102*(R$8-$A101)/($A102-$A101)),"")))</f>
        <v/>
      </c>
      <c r="AD100" s="67" t="str">
        <f>IF($A101="","",IF($A102="",IF(YEAR($A101)=2006,SUM($J$12:$J101),""),IF(AND(YEAR($A101)=2006,YEAR($A102)=2007),SUM($J$12:$J101,$J102*(S$8-$A101)/($A102-$A101)),"")))</f>
        <v/>
      </c>
      <c r="AE100" s="67" t="str">
        <f>IF($A101="","",IF($A102="",IF(YEAR($A101)=2007,SUM($J$12:$J101),""),IF(AND(YEAR($A101)=2007,YEAR($A102)=2008),SUM($J$12:$J101,$J102*(T$8-$A101)/($A102-$A101)),"")))</f>
        <v/>
      </c>
      <c r="AF100" s="67" t="str">
        <f>IF($A101="","",IF($A102="",IF(YEAR($A101)=2008,SUM($J$12:$J101),""),IF(AND(YEAR($A101)=2008,YEAR($A102)=2009),SUM($J$12:$J101,$J102*(U$8-$A101)/($A102-$A101)),"")))</f>
        <v/>
      </c>
      <c r="AG100" s="67" t="str">
        <f>IF($A101="","",IF($A102="",IF(YEAR($A101)=2009,SUM($J$12:$J101),""),IF(AND(YEAR($A101)=2009,YEAR($A102)=2010),SUM($J$12:$J101,$J102*(V$8-$A101)/($A102-$A101)),"")))</f>
        <v/>
      </c>
      <c r="AH100" s="67" t="str">
        <f>IF($A101="","",IF($A102="",IF(YEAR($A101)=2010,SUM($J$12:$J101),""),IF(AND(YEAR($A101)=2010,YEAR($A102)=2011),SUM($J$12:$J101,$J102*(W$8-$A101)/($A102-$A101)),"")))</f>
        <v/>
      </c>
      <c r="AI100" s="67" t="str">
        <f>IF($A101="","",IF($A102="",IF(YEAR($A101)=2011,SUM($J$12:$J101),""),IF(AND(YEAR($A101)=2011,YEAR($A102)=2012),SUM($J$12:$J101,$J102*(X$8-$A101)/($A102-$A101)),"")))</f>
        <v/>
      </c>
      <c r="AJ100" s="67" t="str">
        <f>IF($A101="","",IF($A102="",IF(YEAR($A101)=2012,SUM($J$12:$J101),""),IF(AND(YEAR($A101)=2012,YEAR($A102)=2013),SUM($J$12:$J101,$J102*(Y$8-$A101)/($A102-$A101)),"")))</f>
        <v/>
      </c>
    </row>
    <row r="101" spans="1:36" x14ac:dyDescent="0.2">
      <c r="A101" s="309" t="str">
        <f t="shared" si="3"/>
        <v/>
      </c>
      <c r="B101" s="168" t="str">
        <f>IF($E$5*$E$7&lt;89," ",89)</f>
        <v xml:space="preserve"> </v>
      </c>
      <c r="C101" s="201" t="str">
        <f>IF(AND(B99=" ",B100=" ",B101=" ")," ",IF(B100=" ",SUM(C$13:C99),IF(B101=" "," ",D101+E101)))</f>
        <v xml:space="preserve"> </v>
      </c>
      <c r="D101" s="201" t="str">
        <f>IF(AND(B99=" ",B100=" ",B101=" ")," ",IF(B100=" ",SUM(D$13:D99),IF(B101=" "," ",ROUND(F100*E$6/E$7,2))))</f>
        <v xml:space="preserve"> </v>
      </c>
      <c r="E101" s="201" t="str">
        <f>IF(AND(B99=" ",B100=" ",B101=" ")," ",IF(B100=" ",SUM(E$13:E99),IF(B101=" "," ",E$8)))</f>
        <v xml:space="preserve"> </v>
      </c>
      <c r="F101" s="201" t="str">
        <f>IF(AND(B99=" ",B100=" ",B101=" ")," ",IF(B100=" ",SUM(F$12:F98),IF(B101=" "," ",F100-E101)))</f>
        <v xml:space="preserve"> </v>
      </c>
      <c r="G101" s="201" t="str">
        <f>IF(AND(B99=" ",B100=" ",B101=" ")," ",IF(B100=" ",SUM(G$12:G99),IF(B102=" ",IF(E$5*E$7=B101,C101-C$7+C$8+G$10," "),C101)))</f>
        <v xml:space="preserve"> </v>
      </c>
      <c r="H101" s="204" t="str">
        <f>IF(AND(B99=" ",B100=" ",B101=" ")," ",IF(B100=" ",SUM(H$13:H99)*E$7,IF(B101=" "," ",IF(B102=" ",IF(E$5*E$7=B101,IRR(G$12:G101,0.01)," ")," "))))</f>
        <v xml:space="preserve"> </v>
      </c>
      <c r="I101" s="202" t="str">
        <f t="shared" si="4"/>
        <v/>
      </c>
      <c r="J101" s="202" t="str">
        <f t="shared" si="5"/>
        <v/>
      </c>
      <c r="K101" s="55"/>
      <c r="L101" s="56"/>
      <c r="O101" s="67"/>
      <c r="P101" s="67" t="str">
        <f>IF($A102="","",IF($A103="",IF(YEAR($A102)=2003,SUM($D$12:$D102),""),IF(AND(YEAR($A102)=2003,YEAR($A103)=2004),SUM($D$12:$D102,$D103*(P$8-$A102)/($A103-$A102)),"")))</f>
        <v/>
      </c>
      <c r="Q101" s="67" t="str">
        <f>IF(A102="","",IF(A103="",IF(YEAR(A102)=2004,SUM(D$12:D102),""),IF(AND(YEAR(A102)=2004,YEAR(A103)=2005),SUM(D$12:D102,D103*(Q$8-A102)/(A103-A102)),"")))</f>
        <v/>
      </c>
      <c r="R101" s="67" t="str">
        <f>IF(A102="","",IF(A103="",IF(YEAR(A102)=2005,SUM(D$12:D102),""),IF(AND(YEAR(A102)=2005,YEAR(A103)=2006),SUM(D$12:D102,D103*(R$8-A102)/(A103-A102)),"")))</f>
        <v/>
      </c>
      <c r="S101" s="67" t="str">
        <f>IF(A102="","",IF(A103="",IF(YEAR(A102)=2006,SUM(D$12:D102),""),IF(AND(YEAR(A102)=2006,YEAR(A103)=2007),SUM(D$12:D102,D103*(S$8-A102)/(A103-A102)),"")))</f>
        <v/>
      </c>
      <c r="T101" s="67" t="str">
        <f>IF(A102="","",IF(A103="",IF(YEAR(A102)=2007,SUM(D$12:D102),""),IF(AND(YEAR(A102)=2007,YEAR(A103)=2008),SUM(D$12:D102,D103*(T$8-A102)/(A103-A102)),"")))</f>
        <v/>
      </c>
      <c r="U101" s="67" t="str">
        <f>IF(A102="","",IF(A103="",IF(YEAR(A102)=2008,SUM(D$12:D102),""),IF(AND(YEAR(A102)=2008,YEAR(A103)=2009),SUM(D$12:D102,D103*(U$8-A102)/(A103-A102)),"")))</f>
        <v/>
      </c>
      <c r="V101" s="67" t="str">
        <f>IF(A102="","",IF(A103="",IF(YEAR(A102)=2009,SUM(D$12:D102),""),IF(AND(YEAR(A102)=2009,YEAR(A103)=2010),SUM(D$12:D102,D103*(V$8-A102)/(A103-A102)),"")))</f>
        <v/>
      </c>
      <c r="W101" s="67" t="str">
        <f>IF(A102="","",IF(A103="",IF(YEAR(A102)=2010,SUM(D$12:D102),""),IF(AND(YEAR(A102)=2010,YEAR(A103)=2011),SUM(D$12:D102,D103*(W$8-A102)/(A103-A102)),"")))</f>
        <v/>
      </c>
      <c r="X101" s="67" t="str">
        <f>IF(A102="","",IF(A103="",IF(YEAR(A102)=2011,SUM(D$12:D102),""),IF(AND(YEAR(A102)=2011,YEAR(A103)=2012),SUM(D$12:D102,D103*(X$8-A102)/(A103-A102)),"")))</f>
        <v/>
      </c>
      <c r="Y101" s="72" t="str">
        <f>IF(A102="","",IF(A103="",IF(YEAR(A102)=2012,SUM(D$12:D102),""),IF(AND(YEAR(A102)=2012,YEAR(A103)=2013),SUM(D$12:D102,D103*(Y$8-A102)/(A103-A102)),"")))</f>
        <v/>
      </c>
      <c r="Z101" s="67" t="str">
        <f>IF($A102="","",IF($A103="",IF(YEAR($A102)=2002,SUM($J$12:$J102),""),IF(AND(YEAR($A102)=2002,YEAR($A103)=2003),SUM($J$12:$J102,$J103*(O$8-$A102)/($A103-$A102)),"")))</f>
        <v/>
      </c>
      <c r="AA101" s="67" t="str">
        <f>IF($A102="","",IF($A103="",IF(YEAR($A102)=2003,SUM($J$12:$J102),""),IF(AND(YEAR($A102)=2003,YEAR($A103)=2004),SUM($J$12:$J102,$J103*(P$8-$A102)/($A103-$A102)),"")))</f>
        <v/>
      </c>
      <c r="AB101" s="67" t="str">
        <f>IF($A102="","",IF($A103="",IF(YEAR($A102)=2004,SUM($J$12:$J102),""),IF(AND(YEAR($A102)=2004,YEAR($A103)=2005),SUM($J$12:$J102,$J103*(Q$8-$A102)/($A103-$A102)),"")))</f>
        <v/>
      </c>
      <c r="AC101" s="67" t="str">
        <f>IF($A102="","",IF($A103="",IF(YEAR($A102)=2005,SUM($J$12:$J102),""),IF(AND(YEAR($A102)=2005,YEAR($A103)=2006),SUM($J$12:$J102,$J103*(R$8-$A102)/($A103-$A102)),"")))</f>
        <v/>
      </c>
      <c r="AD101" s="67" t="str">
        <f>IF($A102="","",IF($A103="",IF(YEAR($A102)=2006,SUM($J$12:$J102),""),IF(AND(YEAR($A102)=2006,YEAR($A103)=2007),SUM($J$12:$J102,$J103*(S$8-$A102)/($A103-$A102)),"")))</f>
        <v/>
      </c>
      <c r="AE101" s="67" t="str">
        <f>IF($A102="","",IF($A103="",IF(YEAR($A102)=2007,SUM($J$12:$J102),""),IF(AND(YEAR($A102)=2007,YEAR($A103)=2008),SUM($J$12:$J102,$J103*(T$8-$A102)/($A103-$A102)),"")))</f>
        <v/>
      </c>
      <c r="AF101" s="67" t="str">
        <f>IF($A102="","",IF($A103="",IF(YEAR($A102)=2008,SUM($J$12:$J102),""),IF(AND(YEAR($A102)=2008,YEAR($A103)=2009),SUM($J$12:$J102,$J103*(U$8-$A102)/($A103-$A102)),"")))</f>
        <v/>
      </c>
      <c r="AG101" s="67" t="str">
        <f>IF($A102="","",IF($A103="",IF(YEAR($A102)=2009,SUM($J$12:$J102),""),IF(AND(YEAR($A102)=2009,YEAR($A103)=2010),SUM($J$12:$J102,$J103*(V$8-$A102)/($A103-$A102)),"")))</f>
        <v/>
      </c>
      <c r="AH101" s="67" t="str">
        <f>IF($A102="","",IF($A103="",IF(YEAR($A102)=2010,SUM($J$12:$J102),""),IF(AND(YEAR($A102)=2010,YEAR($A103)=2011),SUM($J$12:$J102,$J103*(W$8-$A102)/($A103-$A102)),"")))</f>
        <v/>
      </c>
      <c r="AI101" s="67" t="str">
        <f>IF($A102="","",IF($A103="",IF(YEAR($A102)=2011,SUM($J$12:$J102),""),IF(AND(YEAR($A102)=2011,YEAR($A103)=2012),SUM($J$12:$J102,$J103*(X$8-$A102)/($A103-$A102)),"")))</f>
        <v/>
      </c>
      <c r="AJ101" s="67" t="str">
        <f>IF($A102="","",IF($A103="",IF(YEAR($A102)=2012,SUM($J$12:$J102),""),IF(AND(YEAR($A102)=2012,YEAR($A103)=2013),SUM($J$12:$J102,$J103*(Y$8-$A102)/($A103-$A102)),"")))</f>
        <v/>
      </c>
    </row>
    <row r="102" spans="1:36" x14ac:dyDescent="0.2">
      <c r="A102" s="309" t="str">
        <f t="shared" si="3"/>
        <v/>
      </c>
      <c r="B102" s="168" t="str">
        <f>IF($E$5*$E$7&lt;90," ",90)</f>
        <v xml:space="preserve"> </v>
      </c>
      <c r="C102" s="201" t="str">
        <f>IF(AND(B100=" ",B101=" ",B102=" ")," ",IF(B101=" ",SUM(C$13:C100),IF(B102=" "," ",D102+E102)))</f>
        <v xml:space="preserve"> </v>
      </c>
      <c r="D102" s="201" t="str">
        <f>IF(AND(B100=" ",B101=" ",B102=" ")," ",IF(B101=" ",SUM(D$13:D100),IF(B102=" "," ",ROUND(F101*E$6/E$7,2))))</f>
        <v xml:space="preserve"> </v>
      </c>
      <c r="E102" s="201" t="str">
        <f>IF(AND(B100=" ",B101=" ",B102=" ")," ",IF(B101=" ",SUM(E$13:E100),IF(B102=" "," ",E$8)))</f>
        <v xml:space="preserve"> </v>
      </c>
      <c r="F102" s="201" t="str">
        <f>IF(AND(B100=" ",B101=" ",B102=" ")," ",IF(B101=" ",SUM(F$12:F99),IF(B102=" "," ",F101-E102)))</f>
        <v xml:space="preserve"> </v>
      </c>
      <c r="G102" s="201" t="str">
        <f>IF(AND(B100=" ",B101=" ",B102=" ")," ",IF(B101=" ",SUM(G$12:G100),IF(B103=" ",IF(E$5*E$7=B102,C102-C$7+C$8+G$10," "),C102)))</f>
        <v xml:space="preserve"> </v>
      </c>
      <c r="H102" s="204" t="str">
        <f>IF(AND(B100=" ",B101=" ",B102=" ")," ",IF(B101=" ",SUM(H$13:H100)*E$7,IF(B102=" "," ",IF(B103=" ",IF(E$5*E$7=B102,IRR(G$12:G102,0.01)," ")," "))))</f>
        <v xml:space="preserve"> </v>
      </c>
      <c r="I102" s="202" t="str">
        <f t="shared" si="4"/>
        <v/>
      </c>
      <c r="J102" s="202" t="str">
        <f t="shared" si="5"/>
        <v/>
      </c>
      <c r="K102" s="55"/>
      <c r="L102" s="56"/>
      <c r="O102" s="67"/>
      <c r="P102" s="67" t="str">
        <f>IF($A103="","",IF($A104="",IF(YEAR($A103)=2003,SUM($D$12:$D103),""),IF(AND(YEAR($A103)=2003,YEAR($A104)=2004),SUM($D$12:$D103,$D104*(P$8-$A103)/($A104-$A103)),"")))</f>
        <v/>
      </c>
      <c r="Q102" s="67" t="str">
        <f>IF(A103="","",IF(A104="",IF(YEAR(A103)=2004,SUM(D$12:D103),""),IF(AND(YEAR(A103)=2004,YEAR(A104)=2005),SUM(D$12:D103,D104*(Q$8-A103)/(A104-A103)),"")))</f>
        <v/>
      </c>
      <c r="R102" s="67" t="str">
        <f>IF(A103="","",IF(A104="",IF(YEAR(A103)=2005,SUM(D$12:D103),""),IF(AND(YEAR(A103)=2005,YEAR(A104)=2006),SUM(D$12:D103,D104*(R$8-A103)/(A104-A103)),"")))</f>
        <v/>
      </c>
      <c r="S102" s="67" t="str">
        <f>IF(A103="","",IF(A104="",IF(YEAR(A103)=2006,SUM(D$12:D103),""),IF(AND(YEAR(A103)=2006,YEAR(A104)=2007),SUM(D$12:D103,D104*(S$8-A103)/(A104-A103)),"")))</f>
        <v/>
      </c>
      <c r="T102" s="67" t="str">
        <f>IF(A103="","",IF(A104="",IF(YEAR(A103)=2007,SUM(D$12:D103),""),IF(AND(YEAR(A103)=2007,YEAR(A104)=2008),SUM(D$12:D103,D104*(T$8-A103)/(A104-A103)),"")))</f>
        <v/>
      </c>
      <c r="U102" s="67" t="str">
        <f>IF(A103="","",IF(A104="",IF(YEAR(A103)=2008,SUM(D$12:D103),""),IF(AND(YEAR(A103)=2008,YEAR(A104)=2009),SUM(D$12:D103,D104*(U$8-A103)/(A104-A103)),"")))</f>
        <v/>
      </c>
      <c r="V102" s="67" t="str">
        <f>IF(A103="","",IF(A104="",IF(YEAR(A103)=2009,SUM(D$12:D103),""),IF(AND(YEAR(A103)=2009,YEAR(A104)=2010),SUM(D$12:D103,D104*(V$8-A103)/(A104-A103)),"")))</f>
        <v/>
      </c>
      <c r="W102" s="67" t="str">
        <f>IF(A103="","",IF(A104="",IF(YEAR(A103)=2010,SUM(D$12:D103),""),IF(AND(YEAR(A103)=2010,YEAR(A104)=2011),SUM(D$12:D103,D104*(W$8-A103)/(A104-A103)),"")))</f>
        <v/>
      </c>
      <c r="X102" s="67" t="str">
        <f>IF(A103="","",IF(A104="",IF(YEAR(A103)=2011,SUM(D$12:D103),""),IF(AND(YEAR(A103)=2011,YEAR(A104)=2012),SUM(D$12:D103,D104*(X$8-A103)/(A104-A103)),"")))</f>
        <v/>
      </c>
      <c r="Y102" s="72" t="str">
        <f>IF(A103="","",IF(A104="",IF(YEAR(A103)=2012,SUM(D$12:D103),""),IF(AND(YEAR(A103)=2012,YEAR(A104)=2013),SUM(D$12:D103,D104*(Y$8-A103)/(A104-A103)),"")))</f>
        <v/>
      </c>
      <c r="Z102" s="67" t="str">
        <f>IF($A103="","",IF($A104="",IF(YEAR($A103)=2002,SUM($J$12:$J103),""),IF(AND(YEAR($A103)=2002,YEAR($A104)=2003),SUM($J$12:$J103,$J104*(O$8-$A103)/($A104-$A103)),"")))</f>
        <v/>
      </c>
      <c r="AA102" s="67" t="str">
        <f>IF($A103="","",IF($A104="",IF(YEAR($A103)=2003,SUM($J$12:$J103),""),IF(AND(YEAR($A103)=2003,YEAR($A104)=2004),SUM($J$12:$J103,$J104*(P$8-$A103)/($A104-$A103)),"")))</f>
        <v/>
      </c>
      <c r="AB102" s="67" t="str">
        <f>IF($A103="","",IF($A104="",IF(YEAR($A103)=2004,SUM($J$12:$J103),""),IF(AND(YEAR($A103)=2004,YEAR($A104)=2005),SUM($J$12:$J103,$J104*(Q$8-$A103)/($A104-$A103)),"")))</f>
        <v/>
      </c>
      <c r="AC102" s="67" t="str">
        <f>IF($A103="","",IF($A104="",IF(YEAR($A103)=2005,SUM($J$12:$J103),""),IF(AND(YEAR($A103)=2005,YEAR($A104)=2006),SUM($J$12:$J103,$J104*(R$8-$A103)/($A104-$A103)),"")))</f>
        <v/>
      </c>
      <c r="AD102" s="67" t="str">
        <f>IF($A103="","",IF($A104="",IF(YEAR($A103)=2006,SUM($J$12:$J103),""),IF(AND(YEAR($A103)=2006,YEAR($A104)=2007),SUM($J$12:$J103,$J104*(S$8-$A103)/($A104-$A103)),"")))</f>
        <v/>
      </c>
      <c r="AE102" s="67" t="str">
        <f>IF($A103="","",IF($A104="",IF(YEAR($A103)=2007,SUM($J$12:$J103),""),IF(AND(YEAR($A103)=2007,YEAR($A104)=2008),SUM($J$12:$J103,$J104*(T$8-$A103)/($A104-$A103)),"")))</f>
        <v/>
      </c>
      <c r="AF102" s="67" t="str">
        <f>IF($A103="","",IF($A104="",IF(YEAR($A103)=2008,SUM($J$12:$J103),""),IF(AND(YEAR($A103)=2008,YEAR($A104)=2009),SUM($J$12:$J103,$J104*(U$8-$A103)/($A104-$A103)),"")))</f>
        <v/>
      </c>
      <c r="AG102" s="67" t="str">
        <f>IF($A103="","",IF($A104="",IF(YEAR($A103)=2009,SUM($J$12:$J103),""),IF(AND(YEAR($A103)=2009,YEAR($A104)=2010),SUM($J$12:$J103,$J104*(V$8-$A103)/($A104-$A103)),"")))</f>
        <v/>
      </c>
      <c r="AH102" s="67" t="str">
        <f>IF($A103="","",IF($A104="",IF(YEAR($A103)=2010,SUM($J$12:$J103),""),IF(AND(YEAR($A103)=2010,YEAR($A104)=2011),SUM($J$12:$J103,$J104*(W$8-$A103)/($A104-$A103)),"")))</f>
        <v/>
      </c>
      <c r="AI102" s="67" t="str">
        <f>IF($A103="","",IF($A104="",IF(YEAR($A103)=2011,SUM($J$12:$J103),""),IF(AND(YEAR($A103)=2011,YEAR($A104)=2012),SUM($J$12:$J103,$J104*(X$8-$A103)/($A104-$A103)),"")))</f>
        <v/>
      </c>
      <c r="AJ102" s="67" t="str">
        <f>IF($A103="","",IF($A104="",IF(YEAR($A103)=2012,SUM($J$12:$J103),""),IF(AND(YEAR($A103)=2012,YEAR($A104)=2013),SUM($J$12:$J103,$J104*(Y$8-$A103)/($A104-$A103)),"")))</f>
        <v/>
      </c>
    </row>
    <row r="103" spans="1:36" x14ac:dyDescent="0.2">
      <c r="A103" s="309" t="str">
        <f t="shared" si="3"/>
        <v/>
      </c>
      <c r="B103" s="168" t="str">
        <f>IF($E$5*$E$7&lt;91," ",91)</f>
        <v xml:space="preserve"> </v>
      </c>
      <c r="C103" s="201" t="str">
        <f>IF(AND(B101=" ",B102=" ",B103=" ")," ",IF(B102=" ",SUM(C$13:C101),IF(B103=" "," ",D103+E103)))</f>
        <v xml:space="preserve"> </v>
      </c>
      <c r="D103" s="201" t="str">
        <f>IF(AND(B101=" ",B102=" ",B103=" ")," ",IF(B102=" ",SUM(D$13:D101),IF(B103=" "," ",ROUND(F102*E$6/E$7,2))))</f>
        <v xml:space="preserve"> </v>
      </c>
      <c r="E103" s="201" t="str">
        <f>IF(AND(B101=" ",B102=" ",B103=" ")," ",IF(B102=" ",SUM(E$13:E101),IF(B103=" "," ",E$8)))</f>
        <v xml:space="preserve"> </v>
      </c>
      <c r="F103" s="201" t="str">
        <f>IF(AND(B101=" ",B102=" ",B103=" ")," ",IF(B102=" ",SUM(F$12:F100),IF(B103=" "," ",F102-E103)))</f>
        <v xml:space="preserve"> </v>
      </c>
      <c r="G103" s="201" t="str">
        <f>IF(AND(B101=" ",B102=" ",B103=" ")," ",IF(B102=" ",SUM(G$12:G101),IF(B104=" ",IF(E$5*E$7=B103,C103-C$7+C$8+G$10," "),C103)))</f>
        <v xml:space="preserve"> </v>
      </c>
      <c r="H103" s="204" t="str">
        <f>IF(AND(B101=" ",B102=" ",B103=" ")," ",IF(B102=" ",SUM(H$13:H101)*E$7,IF(B103=" "," ",IF(B104=" ",IF(E$5*E$7=B103,IRR(G$12:G103,0.01)," ")," "))))</f>
        <v xml:space="preserve"> </v>
      </c>
      <c r="I103" s="202" t="str">
        <f t="shared" si="4"/>
        <v/>
      </c>
      <c r="J103" s="202" t="str">
        <f t="shared" si="5"/>
        <v/>
      </c>
      <c r="K103" s="55"/>
      <c r="L103" s="56"/>
      <c r="O103" s="67"/>
      <c r="P103" s="67" t="str">
        <f>IF($A104="","",IF($A105="",IF(YEAR($A104)=2003,SUM($D$12:$D104),""),IF(AND(YEAR($A104)=2003,YEAR($A105)=2004),SUM($D$12:$D104,$D105*(P$8-$A104)/($A105-$A104)),"")))</f>
        <v/>
      </c>
      <c r="Q103" s="67" t="str">
        <f>IF(A104="","",IF(A105="",IF(YEAR(A104)=2004,SUM(D$12:D104),""),IF(AND(YEAR(A104)=2004,YEAR(A105)=2005),SUM(D$12:D104,D105*(Q$8-A104)/(A105-A104)),"")))</f>
        <v/>
      </c>
      <c r="R103" s="67" t="str">
        <f>IF(A104="","",IF(A105="",IF(YEAR(A104)=2005,SUM(D$12:D104),""),IF(AND(YEAR(A104)=2005,YEAR(A105)=2006),SUM(D$12:D104,D105*(R$8-A104)/(A105-A104)),"")))</f>
        <v/>
      </c>
      <c r="S103" s="67" t="str">
        <f>IF(A104="","",IF(A105="",IF(YEAR(A104)=2006,SUM(D$12:D104),""),IF(AND(YEAR(A104)=2006,YEAR(A105)=2007),SUM(D$12:D104,D105*(S$8-A104)/(A105-A104)),"")))</f>
        <v/>
      </c>
      <c r="T103" s="67" t="str">
        <f>IF(A104="","",IF(A105="",IF(YEAR(A104)=2007,SUM(D$12:D104),""),IF(AND(YEAR(A104)=2007,YEAR(A105)=2008),SUM(D$12:D104,D105*(T$8-A104)/(A105-A104)),"")))</f>
        <v/>
      </c>
      <c r="U103" s="67" t="str">
        <f>IF(A104="","",IF(A105="",IF(YEAR(A104)=2008,SUM(D$12:D104),""),IF(AND(YEAR(A104)=2008,YEAR(A105)=2009),SUM(D$12:D104,D105*(U$8-A104)/(A105-A104)),"")))</f>
        <v/>
      </c>
      <c r="V103" s="67" t="str">
        <f>IF(A104="","",IF(A105="",IF(YEAR(A104)=2009,SUM(D$12:D104),""),IF(AND(YEAR(A104)=2009,YEAR(A105)=2010),SUM(D$12:D104,D105*(V$8-A104)/(A105-A104)),"")))</f>
        <v/>
      </c>
      <c r="W103" s="67" t="str">
        <f>IF(A104="","",IF(A105="",IF(YEAR(A104)=2010,SUM(D$12:D104),""),IF(AND(YEAR(A104)=2010,YEAR(A105)=2011),SUM(D$12:D104,D105*(W$8-A104)/(A105-A104)),"")))</f>
        <v/>
      </c>
      <c r="X103" s="67" t="str">
        <f>IF(A104="","",IF(A105="",IF(YEAR(A104)=2011,SUM(D$12:D104),""),IF(AND(YEAR(A104)=2011,YEAR(A105)=2012),SUM(D$12:D104,D105*(X$8-A104)/(A105-A104)),"")))</f>
        <v/>
      </c>
      <c r="Y103" s="72" t="str">
        <f>IF(A104="","",IF(A105="",IF(YEAR(A104)=2012,SUM(D$12:D104),""),IF(AND(YEAR(A104)=2012,YEAR(A105)=2013),SUM(D$12:D104,D105*(Y$8-A104)/(A105-A104)),"")))</f>
        <v/>
      </c>
      <c r="Z103" s="67" t="str">
        <f>IF($A104="","",IF($A105="",IF(YEAR($A104)=2002,SUM($J$12:$J104),""),IF(AND(YEAR($A104)=2002,YEAR($A105)=2003),SUM($J$12:$J104,$J105*(O$8-$A104)/($A105-$A104)),"")))</f>
        <v/>
      </c>
      <c r="AA103" s="67" t="str">
        <f>IF($A104="","",IF($A105="",IF(YEAR($A104)=2003,SUM($J$12:$J104),""),IF(AND(YEAR($A104)=2003,YEAR($A105)=2004),SUM($J$12:$J104,$J105*(P$8-$A104)/($A105-$A104)),"")))</f>
        <v/>
      </c>
      <c r="AB103" s="67" t="str">
        <f>IF($A104="","",IF($A105="",IF(YEAR($A104)=2004,SUM($J$12:$J104),""),IF(AND(YEAR($A104)=2004,YEAR($A105)=2005),SUM($J$12:$J104,$J105*(Q$8-$A104)/($A105-$A104)),"")))</f>
        <v/>
      </c>
      <c r="AC103" s="67" t="str">
        <f>IF($A104="","",IF($A105="",IF(YEAR($A104)=2005,SUM($J$12:$J104),""),IF(AND(YEAR($A104)=2005,YEAR($A105)=2006),SUM($J$12:$J104,$J105*(R$8-$A104)/($A105-$A104)),"")))</f>
        <v/>
      </c>
      <c r="AD103" s="67" t="str">
        <f>IF($A104="","",IF($A105="",IF(YEAR($A104)=2006,SUM($J$12:$J104),""),IF(AND(YEAR($A104)=2006,YEAR($A105)=2007),SUM($J$12:$J104,$J105*(S$8-$A104)/($A105-$A104)),"")))</f>
        <v/>
      </c>
      <c r="AE103" s="67" t="str">
        <f>IF($A104="","",IF($A105="",IF(YEAR($A104)=2007,SUM($J$12:$J104),""),IF(AND(YEAR($A104)=2007,YEAR($A105)=2008),SUM($J$12:$J104,$J105*(T$8-$A104)/($A105-$A104)),"")))</f>
        <v/>
      </c>
      <c r="AF103" s="67" t="str">
        <f>IF($A104="","",IF($A105="",IF(YEAR($A104)=2008,SUM($J$12:$J104),""),IF(AND(YEAR($A104)=2008,YEAR($A105)=2009),SUM($J$12:$J104,$J105*(U$8-$A104)/($A105-$A104)),"")))</f>
        <v/>
      </c>
      <c r="AG103" s="67" t="str">
        <f>IF($A104="","",IF($A105="",IF(YEAR($A104)=2009,SUM($J$12:$J104),""),IF(AND(YEAR($A104)=2009,YEAR($A105)=2010),SUM($J$12:$J104,$J105*(V$8-$A104)/($A105-$A104)),"")))</f>
        <v/>
      </c>
      <c r="AH103" s="67" t="str">
        <f>IF($A104="","",IF($A105="",IF(YEAR($A104)=2010,SUM($J$12:$J104),""),IF(AND(YEAR($A104)=2010,YEAR($A105)=2011),SUM($J$12:$J104,$J105*(W$8-$A104)/($A105-$A104)),"")))</f>
        <v/>
      </c>
      <c r="AI103" s="67" t="str">
        <f>IF($A104="","",IF($A105="",IF(YEAR($A104)=2011,SUM($J$12:$J104),""),IF(AND(YEAR($A104)=2011,YEAR($A105)=2012),SUM($J$12:$J104,$J105*(X$8-$A104)/($A105-$A104)),"")))</f>
        <v/>
      </c>
      <c r="AJ103" s="67" t="str">
        <f>IF($A104="","",IF($A105="",IF(YEAR($A104)=2012,SUM($J$12:$J104),""),IF(AND(YEAR($A104)=2012,YEAR($A105)=2013),SUM($J$12:$J104,$J105*(Y$8-$A104)/($A105-$A104)),"")))</f>
        <v/>
      </c>
    </row>
    <row r="104" spans="1:36" x14ac:dyDescent="0.2">
      <c r="A104" s="309" t="str">
        <f t="shared" si="3"/>
        <v/>
      </c>
      <c r="B104" s="168" t="str">
        <f>IF($E$5*$E$7&lt;92," ",92)</f>
        <v xml:space="preserve"> </v>
      </c>
      <c r="C104" s="201" t="str">
        <f>IF(AND(B102=" ",B103=" ",B104=" ")," ",IF(B103=" ",SUM(C$13:C102),IF(B104=" "," ",D104+E104)))</f>
        <v xml:space="preserve"> </v>
      </c>
      <c r="D104" s="201" t="str">
        <f>IF(AND(B102=" ",B103=" ",B104=" ")," ",IF(B103=" ",SUM(D$13:D102),IF(B104=" "," ",ROUND(F103*E$6/E$7,2))))</f>
        <v xml:space="preserve"> </v>
      </c>
      <c r="E104" s="201" t="str">
        <f>IF(AND(B102=" ",B103=" ",B104=" ")," ",IF(B103=" ",SUM(E$13:E102),IF(B104=" "," ",E$8)))</f>
        <v xml:space="preserve"> </v>
      </c>
      <c r="F104" s="201" t="str">
        <f>IF(AND(B102=" ",B103=" ",B104=" ")," ",IF(B103=" ",SUM(F$12:F101),IF(B104=" "," ",F103-E104)))</f>
        <v xml:space="preserve"> </v>
      </c>
      <c r="G104" s="201" t="str">
        <f>IF(AND(B102=" ",B103=" ",B104=" ")," ",IF(B103=" ",SUM(G$12:G102),IF(B105=" ",IF(E$5*E$7=B104,C104-C$7+C$8+G$10," "),C104)))</f>
        <v xml:space="preserve"> </v>
      </c>
      <c r="H104" s="204" t="str">
        <f>IF(AND(B102=" ",B103=" ",B104=" ")," ",IF(B103=" ",SUM(H$13:H102)*E$7,IF(B104=" "," ",IF(B105=" ",IF(E$5*E$7=B104,IRR(G$12:G104,0.01)," ")," "))))</f>
        <v xml:space="preserve"> </v>
      </c>
      <c r="I104" s="202" t="str">
        <f t="shared" si="4"/>
        <v/>
      </c>
      <c r="J104" s="202" t="str">
        <f t="shared" si="5"/>
        <v/>
      </c>
      <c r="K104" s="55"/>
      <c r="L104" s="56"/>
      <c r="O104" s="67"/>
      <c r="P104" s="67" t="str">
        <f>IF($A105="","",IF($A106="",IF(YEAR($A105)=2003,SUM($D$12:$D105),""),IF(AND(YEAR($A105)=2003,YEAR($A106)=2004),SUM($D$12:$D105,$D106*(P$8-$A105)/($A106-$A105)),"")))</f>
        <v/>
      </c>
      <c r="Q104" s="67" t="str">
        <f>IF(A105="","",IF(A106="",IF(YEAR(A105)=2004,SUM(D$12:D105),""),IF(AND(YEAR(A105)=2004,YEAR(A106)=2005),SUM(D$12:D105,D106*(Q$8-A105)/(A106-A105)),"")))</f>
        <v/>
      </c>
      <c r="R104" s="67" t="str">
        <f>IF(A105="","",IF(A106="",IF(YEAR(A105)=2005,SUM(D$12:D105),""),IF(AND(YEAR(A105)=2005,YEAR(A106)=2006),SUM(D$12:D105,D106*(R$8-A105)/(A106-A105)),"")))</f>
        <v/>
      </c>
      <c r="S104" s="67" t="str">
        <f>IF(A105="","",IF(A106="",IF(YEAR(A105)=2006,SUM(D$12:D105),""),IF(AND(YEAR(A105)=2006,YEAR(A106)=2007),SUM(D$12:D105,D106*(S$8-A105)/(A106-A105)),"")))</f>
        <v/>
      </c>
      <c r="T104" s="67" t="str">
        <f>IF(A105="","",IF(A106="",IF(YEAR(A105)=2007,SUM(D$12:D105),""),IF(AND(YEAR(A105)=2007,YEAR(A106)=2008),SUM(D$12:D105,D106*(T$8-A105)/(A106-A105)),"")))</f>
        <v/>
      </c>
      <c r="U104" s="67" t="str">
        <f>IF(A105="","",IF(A106="",IF(YEAR(A105)=2008,SUM(D$12:D105),""),IF(AND(YEAR(A105)=2008,YEAR(A106)=2009),SUM(D$12:D105,D106*(U$8-A105)/(A106-A105)),"")))</f>
        <v/>
      </c>
      <c r="V104" s="67" t="str">
        <f>IF(A105="","",IF(A106="",IF(YEAR(A105)=2009,SUM(D$12:D105),""),IF(AND(YEAR(A105)=2009,YEAR(A106)=2010),SUM(D$12:D105,D106*(V$8-A105)/(A106-A105)),"")))</f>
        <v/>
      </c>
      <c r="W104" s="67" t="str">
        <f>IF(A105="","",IF(A106="",IF(YEAR(A105)=2010,SUM(D$12:D105),""),IF(AND(YEAR(A105)=2010,YEAR(A106)=2011),SUM(D$12:D105,D106*(W$8-A105)/(A106-A105)),"")))</f>
        <v/>
      </c>
      <c r="X104" s="67" t="str">
        <f>IF(A105="","",IF(A106="",IF(YEAR(A105)=2011,SUM(D$12:D105),""),IF(AND(YEAR(A105)=2011,YEAR(A106)=2012),SUM(D$12:D105,D106*(X$8-A105)/(A106-A105)),"")))</f>
        <v/>
      </c>
      <c r="Y104" s="72" t="str">
        <f>IF(A105="","",IF(A106="",IF(YEAR(A105)=2012,SUM(D$12:D105),""),IF(AND(YEAR(A105)=2012,YEAR(A106)=2013),SUM(D$12:D105,D106*(Y$8-A105)/(A106-A105)),"")))</f>
        <v/>
      </c>
      <c r="Z104" s="67" t="str">
        <f>IF($A105="","",IF($A106="",IF(YEAR($A105)=2002,SUM($J$12:$J105),""),IF(AND(YEAR($A105)=2002,YEAR($A106)=2003),SUM($J$12:$J105,$J106*(O$8-$A105)/($A106-$A105)),"")))</f>
        <v/>
      </c>
      <c r="AA104" s="67" t="str">
        <f>IF($A105="","",IF($A106="",IF(YEAR($A105)=2003,SUM($J$12:$J105),""),IF(AND(YEAR($A105)=2003,YEAR($A106)=2004),SUM($J$12:$J105,$J106*(P$8-$A105)/($A106-$A105)),"")))</f>
        <v/>
      </c>
      <c r="AB104" s="67" t="str">
        <f>IF($A105="","",IF($A106="",IF(YEAR($A105)=2004,SUM($J$12:$J105),""),IF(AND(YEAR($A105)=2004,YEAR($A106)=2005),SUM($J$12:$J105,$J106*(Q$8-$A105)/($A106-$A105)),"")))</f>
        <v/>
      </c>
      <c r="AC104" s="67" t="str">
        <f>IF($A105="","",IF($A106="",IF(YEAR($A105)=2005,SUM($J$12:$J105),""),IF(AND(YEAR($A105)=2005,YEAR($A106)=2006),SUM($J$12:$J105,$J106*(R$8-$A105)/($A106-$A105)),"")))</f>
        <v/>
      </c>
      <c r="AD104" s="67" t="str">
        <f>IF($A105="","",IF($A106="",IF(YEAR($A105)=2006,SUM($J$12:$J105),""),IF(AND(YEAR($A105)=2006,YEAR($A106)=2007),SUM($J$12:$J105,$J106*(S$8-$A105)/($A106-$A105)),"")))</f>
        <v/>
      </c>
      <c r="AE104" s="67" t="str">
        <f>IF($A105="","",IF($A106="",IF(YEAR($A105)=2007,SUM($J$12:$J105),""),IF(AND(YEAR($A105)=2007,YEAR($A106)=2008),SUM($J$12:$J105,$J106*(T$8-$A105)/($A106-$A105)),"")))</f>
        <v/>
      </c>
      <c r="AF104" s="67" t="str">
        <f>IF($A105="","",IF($A106="",IF(YEAR($A105)=2008,SUM($J$12:$J105),""),IF(AND(YEAR($A105)=2008,YEAR($A106)=2009),SUM($J$12:$J105,$J106*(U$8-$A105)/($A106-$A105)),"")))</f>
        <v/>
      </c>
      <c r="AG104" s="67" t="str">
        <f>IF($A105="","",IF($A106="",IF(YEAR($A105)=2009,SUM($J$12:$J105),""),IF(AND(YEAR($A105)=2009,YEAR($A106)=2010),SUM($J$12:$J105,$J106*(V$8-$A105)/($A106-$A105)),"")))</f>
        <v/>
      </c>
      <c r="AH104" s="67" t="str">
        <f>IF($A105="","",IF($A106="",IF(YEAR($A105)=2010,SUM($J$12:$J105),""),IF(AND(YEAR($A105)=2010,YEAR($A106)=2011),SUM($J$12:$J105,$J106*(W$8-$A105)/($A106-$A105)),"")))</f>
        <v/>
      </c>
      <c r="AI104" s="67" t="str">
        <f>IF($A105="","",IF($A106="",IF(YEAR($A105)=2011,SUM($J$12:$J105),""),IF(AND(YEAR($A105)=2011,YEAR($A106)=2012),SUM($J$12:$J105,$J106*(X$8-$A105)/($A106-$A105)),"")))</f>
        <v/>
      </c>
      <c r="AJ104" s="67" t="str">
        <f>IF($A105="","",IF($A106="",IF(YEAR($A105)=2012,SUM($J$12:$J105),""),IF(AND(YEAR($A105)=2012,YEAR($A106)=2013),SUM($J$12:$J105,$J106*(Y$8-$A105)/($A106-$A105)),"")))</f>
        <v/>
      </c>
    </row>
    <row r="105" spans="1:36" x14ac:dyDescent="0.2">
      <c r="A105" s="309" t="str">
        <f t="shared" si="3"/>
        <v/>
      </c>
      <c r="B105" s="168" t="str">
        <f>IF($E$5*$E$7&lt;93," ",93)</f>
        <v xml:space="preserve"> </v>
      </c>
      <c r="C105" s="201" t="str">
        <f>IF(AND(B103=" ",B104=" ",B105=" ")," ",IF(B104=" ",SUM(C$13:C103),IF(B105=" "," ",D105+E105)))</f>
        <v xml:space="preserve"> </v>
      </c>
      <c r="D105" s="201" t="str">
        <f>IF(AND(B103=" ",B104=" ",B105=" ")," ",IF(B104=" ",SUM(D$13:D103),IF(B105=" "," ",ROUND(F104*E$6/E$7,2))))</f>
        <v xml:space="preserve"> </v>
      </c>
      <c r="E105" s="201" t="str">
        <f>IF(AND(B103=" ",B104=" ",B105=" ")," ",IF(B104=" ",SUM(E$13:E103),IF(B105=" "," ",E$8)))</f>
        <v xml:space="preserve"> </v>
      </c>
      <c r="F105" s="201" t="str">
        <f>IF(AND(B103=" ",B104=" ",B105=" ")," ",IF(B104=" ",SUM(F$12:F102),IF(B105=" "," ",F104-E105)))</f>
        <v xml:space="preserve"> </v>
      </c>
      <c r="G105" s="201" t="str">
        <f>IF(AND(B103=" ",B104=" ",B105=" ")," ",IF(B104=" ",SUM(G$12:G103),IF(B106=" ",IF(E$5*E$7=B105,C105-C$7+C$8+G$10," "),C105)))</f>
        <v xml:space="preserve"> </v>
      </c>
      <c r="H105" s="204" t="str">
        <f>IF(AND(B103=" ",B104=" ",B105=" ")," ",IF(B104=" ",SUM(H$13:H103)*E$7,IF(B105=" "," ",IF(B106=" ",IF(E$5*E$7=B105,IRR(G$12:G105,0.01)," ")," "))))</f>
        <v xml:space="preserve"> </v>
      </c>
      <c r="I105" s="202" t="str">
        <f t="shared" si="4"/>
        <v/>
      </c>
      <c r="J105" s="202" t="str">
        <f t="shared" si="5"/>
        <v/>
      </c>
      <c r="K105" s="55"/>
      <c r="L105" s="56"/>
      <c r="O105" s="67"/>
      <c r="P105" s="67" t="str">
        <f>IF($A106="","",IF($A107="",IF(YEAR($A106)=2003,SUM($D$12:$D106),""),IF(AND(YEAR($A106)=2003,YEAR($A107)=2004),SUM($D$12:$D106,$D107*(P$8-$A106)/($A107-$A106)),"")))</f>
        <v/>
      </c>
      <c r="Q105" s="67" t="str">
        <f>IF(A106="","",IF(A107="",IF(YEAR(A106)=2004,SUM(D$12:D106),""),IF(AND(YEAR(A106)=2004,YEAR(A107)=2005),SUM(D$12:D106,D107*(Q$8-A106)/(A107-A106)),"")))</f>
        <v/>
      </c>
      <c r="R105" s="67" t="str">
        <f>IF(A106="","",IF(A107="",IF(YEAR(A106)=2005,SUM(D$12:D106),""),IF(AND(YEAR(A106)=2005,YEAR(A107)=2006),SUM(D$12:D106,D107*(R$8-A106)/(A107-A106)),"")))</f>
        <v/>
      </c>
      <c r="S105" s="67" t="str">
        <f>IF(A106="","",IF(A107="",IF(YEAR(A106)=2006,SUM(D$12:D106),""),IF(AND(YEAR(A106)=2006,YEAR(A107)=2007),SUM(D$12:D106,D107*(S$8-A106)/(A107-A106)),"")))</f>
        <v/>
      </c>
      <c r="T105" s="67" t="str">
        <f>IF(A106="","",IF(A107="",IF(YEAR(A106)=2007,SUM(D$12:D106),""),IF(AND(YEAR(A106)=2007,YEAR(A107)=2008),SUM(D$12:D106,D107*(T$8-A106)/(A107-A106)),"")))</f>
        <v/>
      </c>
      <c r="U105" s="67" t="str">
        <f>IF(A106="","",IF(A107="",IF(YEAR(A106)=2008,SUM(D$12:D106),""),IF(AND(YEAR(A106)=2008,YEAR(A107)=2009),SUM(D$12:D106,D107*(U$8-A106)/(A107-A106)),"")))</f>
        <v/>
      </c>
      <c r="V105" s="67" t="str">
        <f>IF(A106="","",IF(A107="",IF(YEAR(A106)=2009,SUM(D$12:D106),""),IF(AND(YEAR(A106)=2009,YEAR(A107)=2010),SUM(D$12:D106,D107*(V$8-A106)/(A107-A106)),"")))</f>
        <v/>
      </c>
      <c r="W105" s="67" t="str">
        <f>IF(A106="","",IF(A107="",IF(YEAR(A106)=2010,SUM(D$12:D106),""),IF(AND(YEAR(A106)=2010,YEAR(A107)=2011),SUM(D$12:D106,D107*(W$8-A106)/(A107-A106)),"")))</f>
        <v/>
      </c>
      <c r="X105" s="67" t="str">
        <f>IF(A106="","",IF(A107="",IF(YEAR(A106)=2011,SUM(D$12:D106),""),IF(AND(YEAR(A106)=2011,YEAR(A107)=2012),SUM(D$12:D106,D107*(X$8-A106)/(A107-A106)),"")))</f>
        <v/>
      </c>
      <c r="Y105" s="72" t="str">
        <f>IF(A106="","",IF(A107="",IF(YEAR(A106)=2012,SUM(D$12:D106),""),IF(AND(YEAR(A106)=2012,YEAR(A107)=2013),SUM(D$12:D106,D107*(Y$8-A106)/(A107-A106)),"")))</f>
        <v/>
      </c>
      <c r="Z105" s="67" t="str">
        <f>IF($A106="","",IF($A107="",IF(YEAR($A106)=2002,SUM($J$12:$J106),""),IF(AND(YEAR($A106)=2002,YEAR($A107)=2003),SUM($J$12:$J106,$J107*(O$8-$A106)/($A107-$A106)),"")))</f>
        <v/>
      </c>
      <c r="AA105" s="67" t="str">
        <f>IF($A106="","",IF($A107="",IF(YEAR($A106)=2003,SUM($J$12:$J106),""),IF(AND(YEAR($A106)=2003,YEAR($A107)=2004),SUM($J$12:$J106,$J107*(P$8-$A106)/($A107-$A106)),"")))</f>
        <v/>
      </c>
      <c r="AB105" s="67" t="str">
        <f>IF($A106="","",IF($A107="",IF(YEAR($A106)=2004,SUM($J$12:$J106),""),IF(AND(YEAR($A106)=2004,YEAR($A107)=2005),SUM($J$12:$J106,$J107*(Q$8-$A106)/($A107-$A106)),"")))</f>
        <v/>
      </c>
      <c r="AC105" s="67" t="str">
        <f>IF($A106="","",IF($A107="",IF(YEAR($A106)=2005,SUM($J$12:$J106),""),IF(AND(YEAR($A106)=2005,YEAR($A107)=2006),SUM($J$12:$J106,$J107*(R$8-$A106)/($A107-$A106)),"")))</f>
        <v/>
      </c>
      <c r="AD105" s="67" t="str">
        <f>IF($A106="","",IF($A107="",IF(YEAR($A106)=2006,SUM($J$12:$J106),""),IF(AND(YEAR($A106)=2006,YEAR($A107)=2007),SUM($J$12:$J106,$J107*(S$8-$A106)/($A107-$A106)),"")))</f>
        <v/>
      </c>
      <c r="AE105" s="67" t="str">
        <f>IF($A106="","",IF($A107="",IF(YEAR($A106)=2007,SUM($J$12:$J106),""),IF(AND(YEAR($A106)=2007,YEAR($A107)=2008),SUM($J$12:$J106,$J107*(T$8-$A106)/($A107-$A106)),"")))</f>
        <v/>
      </c>
      <c r="AF105" s="67" t="str">
        <f>IF($A106="","",IF($A107="",IF(YEAR($A106)=2008,SUM($J$12:$J106),""),IF(AND(YEAR($A106)=2008,YEAR($A107)=2009),SUM($J$12:$J106,$J107*(U$8-$A106)/($A107-$A106)),"")))</f>
        <v/>
      </c>
      <c r="AG105" s="67" t="str">
        <f>IF($A106="","",IF($A107="",IF(YEAR($A106)=2009,SUM($J$12:$J106),""),IF(AND(YEAR($A106)=2009,YEAR($A107)=2010),SUM($J$12:$J106,$J107*(V$8-$A106)/($A107-$A106)),"")))</f>
        <v/>
      </c>
      <c r="AH105" s="67" t="str">
        <f>IF($A106="","",IF($A107="",IF(YEAR($A106)=2010,SUM($J$12:$J106),""),IF(AND(YEAR($A106)=2010,YEAR($A107)=2011),SUM($J$12:$J106,$J107*(W$8-$A106)/($A107-$A106)),"")))</f>
        <v/>
      </c>
      <c r="AI105" s="67" t="str">
        <f>IF($A106="","",IF($A107="",IF(YEAR($A106)=2011,SUM($J$12:$J106),""),IF(AND(YEAR($A106)=2011,YEAR($A107)=2012),SUM($J$12:$J106,$J107*(X$8-$A106)/($A107-$A106)),"")))</f>
        <v/>
      </c>
      <c r="AJ105" s="67" t="str">
        <f>IF($A106="","",IF($A107="",IF(YEAR($A106)=2012,SUM($J$12:$J106),""),IF(AND(YEAR($A106)=2012,YEAR($A107)=2013),SUM($J$12:$J106,$J107*(Y$8-$A106)/($A107-$A106)),"")))</f>
        <v/>
      </c>
    </row>
    <row r="106" spans="1:36" x14ac:dyDescent="0.2">
      <c r="A106" s="309" t="str">
        <f t="shared" si="3"/>
        <v/>
      </c>
      <c r="B106" s="168" t="str">
        <f>IF($E$5*$E$7&lt;94," ",94)</f>
        <v xml:space="preserve"> </v>
      </c>
      <c r="C106" s="201" t="str">
        <f>IF(AND(B104=" ",B105=" ",B106=" ")," ",IF(B105=" ",SUM(C$13:C104),IF(B106=" "," ",D106+E106)))</f>
        <v xml:space="preserve"> </v>
      </c>
      <c r="D106" s="201" t="str">
        <f>IF(AND(B104=" ",B105=" ",B106=" ")," ",IF(B105=" ",SUM(D$13:D104),IF(B106=" "," ",ROUND(F105*E$6/E$7,2))))</f>
        <v xml:space="preserve"> </v>
      </c>
      <c r="E106" s="201" t="str">
        <f>IF(AND(B104=" ",B105=" ",B106=" ")," ",IF(B105=" ",SUM(E$13:E104),IF(B106=" "," ",E$8)))</f>
        <v xml:space="preserve"> </v>
      </c>
      <c r="F106" s="201" t="str">
        <f>IF(AND(B104=" ",B105=" ",B106=" ")," ",IF(B105=" ",SUM(F$12:F103),IF(B106=" "," ",F105-E106)))</f>
        <v xml:space="preserve"> </v>
      </c>
      <c r="G106" s="201" t="str">
        <f>IF(AND(B104=" ",B105=" ",B106=" ")," ",IF(B105=" ",SUM(G$12:G104),IF(B107=" ",IF(E$5*E$7=B106,C106-C$7+C$8+G$10," "),C106)))</f>
        <v xml:space="preserve"> </v>
      </c>
      <c r="H106" s="204" t="str">
        <f>IF(AND(B104=" ",B105=" ",B106=" ")," ",IF(B105=" ",SUM(H$13:H104)*E$7,IF(B106=" "," ",IF(B107=" ",IF(E$5*E$7=B106,IRR(G$12:G106,0.01)," ")," "))))</f>
        <v xml:space="preserve"> </v>
      </c>
      <c r="I106" s="202" t="str">
        <f t="shared" si="4"/>
        <v/>
      </c>
      <c r="J106" s="202" t="str">
        <f t="shared" si="5"/>
        <v/>
      </c>
      <c r="K106" s="55"/>
      <c r="L106" s="56"/>
      <c r="O106" s="67"/>
      <c r="P106" s="67" t="str">
        <f>IF($A107="","",IF($A108="",IF(YEAR($A107)=2003,SUM($D$12:$D107),""),IF(AND(YEAR($A107)=2003,YEAR($A108)=2004),SUM($D$12:$D107,$D108*(P$8-$A107)/($A108-$A107)),"")))</f>
        <v/>
      </c>
      <c r="Q106" s="67" t="str">
        <f>IF(A107="","",IF(A108="",IF(YEAR(A107)=2004,SUM(D$12:D107),""),IF(AND(YEAR(A107)=2004,YEAR(A108)=2005),SUM(D$12:D107,D108*(Q$8-A107)/(A108-A107)),"")))</f>
        <v/>
      </c>
      <c r="R106" s="67" t="str">
        <f>IF(A107="","",IF(A108="",IF(YEAR(A107)=2005,SUM(D$12:D107),""),IF(AND(YEAR(A107)=2005,YEAR(A108)=2006),SUM(D$12:D107,D108*(R$8-A107)/(A108-A107)),"")))</f>
        <v/>
      </c>
      <c r="S106" s="67" t="str">
        <f>IF(A107="","",IF(A108="",IF(YEAR(A107)=2006,SUM(D$12:D107),""),IF(AND(YEAR(A107)=2006,YEAR(A108)=2007),SUM(D$12:D107,D108*(S$8-A107)/(A108-A107)),"")))</f>
        <v/>
      </c>
      <c r="T106" s="67" t="str">
        <f>IF(A107="","",IF(A108="",IF(YEAR(A107)=2007,SUM(D$12:D107),""),IF(AND(YEAR(A107)=2007,YEAR(A108)=2008),SUM(D$12:D107,D108*(T$8-A107)/(A108-A107)),"")))</f>
        <v/>
      </c>
      <c r="U106" s="67" t="str">
        <f>IF(A107="","",IF(A108="",IF(YEAR(A107)=2008,SUM(D$12:D107),""),IF(AND(YEAR(A107)=2008,YEAR(A108)=2009),SUM(D$12:D107,D108*(U$8-A107)/(A108-A107)),"")))</f>
        <v/>
      </c>
      <c r="V106" s="67" t="str">
        <f>IF(A107="","",IF(A108="",IF(YEAR(A107)=2009,SUM(D$12:D107),""),IF(AND(YEAR(A107)=2009,YEAR(A108)=2010),SUM(D$12:D107,D108*(V$8-A107)/(A108-A107)),"")))</f>
        <v/>
      </c>
      <c r="W106" s="67" t="str">
        <f>IF(A107="","",IF(A108="",IF(YEAR(A107)=2010,SUM(D$12:D107),""),IF(AND(YEAR(A107)=2010,YEAR(A108)=2011),SUM(D$12:D107,D108*(W$8-A107)/(A108-A107)),"")))</f>
        <v/>
      </c>
      <c r="X106" s="67" t="str">
        <f>IF(A107="","",IF(A108="",IF(YEAR(A107)=2011,SUM(D$12:D107),""),IF(AND(YEAR(A107)=2011,YEAR(A108)=2012),SUM(D$12:D107,D108*(X$8-A107)/(A108-A107)),"")))</f>
        <v/>
      </c>
      <c r="Y106" s="72" t="str">
        <f>IF(A107="","",IF(A108="",IF(YEAR(A107)=2012,SUM(D$12:D107),""),IF(AND(YEAR(A107)=2012,YEAR(A108)=2013),SUM(D$12:D107,D108*(Y$8-A107)/(A108-A107)),"")))</f>
        <v/>
      </c>
      <c r="Z106" s="67" t="str">
        <f>IF($A107="","",IF($A108="",IF(YEAR($A107)=2002,SUM($J$12:$J107),""),IF(AND(YEAR($A107)=2002,YEAR($A108)=2003),SUM($J$12:$J107,$J108*(O$8-$A107)/($A108-$A107)),"")))</f>
        <v/>
      </c>
      <c r="AA106" s="67" t="str">
        <f>IF($A107="","",IF($A108="",IF(YEAR($A107)=2003,SUM($J$12:$J107),""),IF(AND(YEAR($A107)=2003,YEAR($A108)=2004),SUM($J$12:$J107,$J108*(P$8-$A107)/($A108-$A107)),"")))</f>
        <v/>
      </c>
      <c r="AB106" s="67" t="str">
        <f>IF($A107="","",IF($A108="",IF(YEAR($A107)=2004,SUM($J$12:$J107),""),IF(AND(YEAR($A107)=2004,YEAR($A108)=2005),SUM($J$12:$J107,$J108*(Q$8-$A107)/($A108-$A107)),"")))</f>
        <v/>
      </c>
      <c r="AC106" s="67" t="str">
        <f>IF($A107="","",IF($A108="",IF(YEAR($A107)=2005,SUM($J$12:$J107),""),IF(AND(YEAR($A107)=2005,YEAR($A108)=2006),SUM($J$12:$J107,$J108*(R$8-$A107)/($A108-$A107)),"")))</f>
        <v/>
      </c>
      <c r="AD106" s="67" t="str">
        <f>IF($A107="","",IF($A108="",IF(YEAR($A107)=2006,SUM($J$12:$J107),""),IF(AND(YEAR($A107)=2006,YEAR($A108)=2007),SUM($J$12:$J107,$J108*(S$8-$A107)/($A108-$A107)),"")))</f>
        <v/>
      </c>
      <c r="AE106" s="67" t="str">
        <f>IF($A107="","",IF($A108="",IF(YEAR($A107)=2007,SUM($J$12:$J107),""),IF(AND(YEAR($A107)=2007,YEAR($A108)=2008),SUM($J$12:$J107,$J108*(T$8-$A107)/($A108-$A107)),"")))</f>
        <v/>
      </c>
      <c r="AF106" s="67" t="str">
        <f>IF($A107="","",IF($A108="",IF(YEAR($A107)=2008,SUM($J$12:$J107),""),IF(AND(YEAR($A107)=2008,YEAR($A108)=2009),SUM($J$12:$J107,$J108*(U$8-$A107)/($A108-$A107)),"")))</f>
        <v/>
      </c>
      <c r="AG106" s="67" t="str">
        <f>IF($A107="","",IF($A108="",IF(YEAR($A107)=2009,SUM($J$12:$J107),""),IF(AND(YEAR($A107)=2009,YEAR($A108)=2010),SUM($J$12:$J107,$J108*(V$8-$A107)/($A108-$A107)),"")))</f>
        <v/>
      </c>
      <c r="AH106" s="67" t="str">
        <f>IF($A107="","",IF($A108="",IF(YEAR($A107)=2010,SUM($J$12:$J107),""),IF(AND(YEAR($A107)=2010,YEAR($A108)=2011),SUM($J$12:$J107,$J108*(W$8-$A107)/($A108-$A107)),"")))</f>
        <v/>
      </c>
      <c r="AI106" s="67" t="str">
        <f>IF($A107="","",IF($A108="",IF(YEAR($A107)=2011,SUM($J$12:$J107),""),IF(AND(YEAR($A107)=2011,YEAR($A108)=2012),SUM($J$12:$J107,$J108*(X$8-$A107)/($A108-$A107)),"")))</f>
        <v/>
      </c>
      <c r="AJ106" s="67" t="str">
        <f>IF($A107="","",IF($A108="",IF(YEAR($A107)=2012,SUM($J$12:$J107),""),IF(AND(YEAR($A107)=2012,YEAR($A108)=2013),SUM($J$12:$J107,$J108*(Y$8-$A107)/($A108-$A107)),"")))</f>
        <v/>
      </c>
    </row>
    <row r="107" spans="1:36" x14ac:dyDescent="0.2">
      <c r="A107" s="309" t="str">
        <f t="shared" si="3"/>
        <v/>
      </c>
      <c r="B107" s="168" t="str">
        <f>IF($E$5*$E$7&lt;95," ",95)</f>
        <v xml:space="preserve"> </v>
      </c>
      <c r="C107" s="201" t="str">
        <f>IF(AND(B105=" ",B106=" ",B107=" ")," ",IF(B106=" ",SUM(C$13:C105),IF(B107=" "," ",D107+E107)))</f>
        <v xml:space="preserve"> </v>
      </c>
      <c r="D107" s="201" t="str">
        <f>IF(AND(B105=" ",B106=" ",B107=" ")," ",IF(B106=" ",SUM(D$13:D105),IF(B107=" "," ",ROUND(F106*E$6/E$7,2))))</f>
        <v xml:space="preserve"> </v>
      </c>
      <c r="E107" s="201" t="str">
        <f>IF(AND(B105=" ",B106=" ",B107=" ")," ",IF(B106=" ",SUM(E$13:E105),IF(B107=" "," ",E$8)))</f>
        <v xml:space="preserve"> </v>
      </c>
      <c r="F107" s="201" t="str">
        <f>IF(AND(B105=" ",B106=" ",B107=" ")," ",IF(B106=" ",SUM(F$12:F104),IF(B107=" "," ",F106-E107)))</f>
        <v xml:space="preserve"> </v>
      </c>
      <c r="G107" s="201" t="str">
        <f>IF(AND(B105=" ",B106=" ",B107=" ")," ",IF(B106=" ",SUM(G$12:G105),IF(B108=" ",IF(E$5*E$7=B107,C107-C$7+C$8+G$10," "),C107)))</f>
        <v xml:space="preserve"> </v>
      </c>
      <c r="H107" s="204" t="str">
        <f>IF(AND(B105=" ",B106=" ",B107=" ")," ",IF(B106=" ",SUM(H$13:H105)*E$7,IF(B107=" "," ",IF(B108=" ",IF(E$5*E$7=B107,IRR(G$12:G107,0.01)," ")," "))))</f>
        <v xml:space="preserve"> </v>
      </c>
      <c r="I107" s="202" t="str">
        <f t="shared" si="4"/>
        <v/>
      </c>
      <c r="J107" s="202" t="str">
        <f t="shared" si="5"/>
        <v/>
      </c>
      <c r="K107" s="55"/>
      <c r="L107" s="56"/>
      <c r="O107" s="67"/>
      <c r="P107" s="67" t="str">
        <f>IF($A108="","",IF($A109="",IF(YEAR($A108)=2003,SUM($D$12:$D108),""),IF(AND(YEAR($A108)=2003,YEAR($A109)=2004),SUM($D$12:$D108,$D109*(P$8-$A108)/($A109-$A108)),"")))</f>
        <v/>
      </c>
      <c r="Q107" s="67" t="str">
        <f>IF(A108="","",IF(A109="",IF(YEAR(A108)=2004,SUM(D$12:D108),""),IF(AND(YEAR(A108)=2004,YEAR(A109)=2005),SUM(D$12:D108,D109*(Q$8-A108)/(A109-A108)),"")))</f>
        <v/>
      </c>
      <c r="R107" s="67" t="str">
        <f>IF(A108="","",IF(A109="",IF(YEAR(A108)=2005,SUM(D$12:D108),""),IF(AND(YEAR(A108)=2005,YEAR(A109)=2006),SUM(D$12:D108,D109*(R$8-A108)/(A109-A108)),"")))</f>
        <v/>
      </c>
      <c r="S107" s="67" t="str">
        <f>IF(A108="","",IF(A109="",IF(YEAR(A108)=2006,SUM(D$12:D108),""),IF(AND(YEAR(A108)=2006,YEAR(A109)=2007),SUM(D$12:D108,D109*(S$8-A108)/(A109-A108)),"")))</f>
        <v/>
      </c>
      <c r="T107" s="67" t="str">
        <f>IF(A108="","",IF(A109="",IF(YEAR(A108)=2007,SUM(D$12:D108),""),IF(AND(YEAR(A108)=2007,YEAR(A109)=2008),SUM(D$12:D108,D109*(T$8-A108)/(A109-A108)),"")))</f>
        <v/>
      </c>
      <c r="U107" s="67" t="str">
        <f>IF(A108="","",IF(A109="",IF(YEAR(A108)=2008,SUM(D$12:D108),""),IF(AND(YEAR(A108)=2008,YEAR(A109)=2009),SUM(D$12:D108,D109*(U$8-A108)/(A109-A108)),"")))</f>
        <v/>
      </c>
      <c r="V107" s="67" t="str">
        <f>IF(A108="","",IF(A109="",IF(YEAR(A108)=2009,SUM(D$12:D108),""),IF(AND(YEAR(A108)=2009,YEAR(A109)=2010),SUM(D$12:D108,D109*(V$8-A108)/(A109-A108)),"")))</f>
        <v/>
      </c>
      <c r="W107" s="67" t="str">
        <f>IF(A108="","",IF(A109="",IF(YEAR(A108)=2010,SUM(D$12:D108),""),IF(AND(YEAR(A108)=2010,YEAR(A109)=2011),SUM(D$12:D108,D109*(W$8-A108)/(A109-A108)),"")))</f>
        <v/>
      </c>
      <c r="X107" s="67" t="str">
        <f>IF(A108="","",IF(A109="",IF(YEAR(A108)=2011,SUM(D$12:D108),""),IF(AND(YEAR(A108)=2011,YEAR(A109)=2012),SUM(D$12:D108,D109*(X$8-A108)/(A109-A108)),"")))</f>
        <v/>
      </c>
      <c r="Y107" s="72" t="str">
        <f>IF(A108="","",IF(A109="",IF(YEAR(A108)=2012,SUM(D$12:D108),""),IF(AND(YEAR(A108)=2012,YEAR(A109)=2013),SUM(D$12:D108,D109*(Y$8-A108)/(A109-A108)),"")))</f>
        <v/>
      </c>
      <c r="Z107" s="67" t="str">
        <f>IF($A108="","",IF($A109="",IF(YEAR($A108)=2002,SUM($J$12:$J108),""),IF(AND(YEAR($A108)=2002,YEAR($A109)=2003),SUM($J$12:$J108,$J109*(O$8-$A108)/($A109-$A108)),"")))</f>
        <v/>
      </c>
      <c r="AA107" s="67" t="str">
        <f>IF($A108="","",IF($A109="",IF(YEAR($A108)=2003,SUM($J$12:$J108),""),IF(AND(YEAR($A108)=2003,YEAR($A109)=2004),SUM($J$12:$J108,$J109*(P$8-$A108)/($A109-$A108)),"")))</f>
        <v/>
      </c>
      <c r="AB107" s="67" t="str">
        <f>IF($A108="","",IF($A109="",IF(YEAR($A108)=2004,SUM($J$12:$J108),""),IF(AND(YEAR($A108)=2004,YEAR($A109)=2005),SUM($J$12:$J108,$J109*(Q$8-$A108)/($A109-$A108)),"")))</f>
        <v/>
      </c>
      <c r="AC107" s="67" t="str">
        <f>IF($A108="","",IF($A109="",IF(YEAR($A108)=2005,SUM($J$12:$J108),""),IF(AND(YEAR($A108)=2005,YEAR($A109)=2006),SUM($J$12:$J108,$J109*(R$8-$A108)/($A109-$A108)),"")))</f>
        <v/>
      </c>
      <c r="AD107" s="67" t="str">
        <f>IF($A108="","",IF($A109="",IF(YEAR($A108)=2006,SUM($J$12:$J108),""),IF(AND(YEAR($A108)=2006,YEAR($A109)=2007),SUM($J$12:$J108,$J109*(S$8-$A108)/($A109-$A108)),"")))</f>
        <v/>
      </c>
      <c r="AE107" s="67" t="str">
        <f>IF($A108="","",IF($A109="",IF(YEAR($A108)=2007,SUM($J$12:$J108),""),IF(AND(YEAR($A108)=2007,YEAR($A109)=2008),SUM($J$12:$J108,$J109*(T$8-$A108)/($A109-$A108)),"")))</f>
        <v/>
      </c>
      <c r="AF107" s="67" t="str">
        <f>IF($A108="","",IF($A109="",IF(YEAR($A108)=2008,SUM($J$12:$J108),""),IF(AND(YEAR($A108)=2008,YEAR($A109)=2009),SUM($J$12:$J108,$J109*(U$8-$A108)/($A109-$A108)),"")))</f>
        <v/>
      </c>
      <c r="AG107" s="67" t="str">
        <f>IF($A108="","",IF($A109="",IF(YEAR($A108)=2009,SUM($J$12:$J108),""),IF(AND(YEAR($A108)=2009,YEAR($A109)=2010),SUM($J$12:$J108,$J109*(V$8-$A108)/($A109-$A108)),"")))</f>
        <v/>
      </c>
      <c r="AH107" s="67" t="str">
        <f>IF($A108="","",IF($A109="",IF(YEAR($A108)=2010,SUM($J$12:$J108),""),IF(AND(YEAR($A108)=2010,YEAR($A109)=2011),SUM($J$12:$J108,$J109*(W$8-$A108)/($A109-$A108)),"")))</f>
        <v/>
      </c>
      <c r="AI107" s="67" t="str">
        <f>IF($A108="","",IF($A109="",IF(YEAR($A108)=2011,SUM($J$12:$J108),""),IF(AND(YEAR($A108)=2011,YEAR($A109)=2012),SUM($J$12:$J108,$J109*(X$8-$A108)/($A109-$A108)),"")))</f>
        <v/>
      </c>
      <c r="AJ107" s="67" t="str">
        <f>IF($A108="","",IF($A109="",IF(YEAR($A108)=2012,SUM($J$12:$J108),""),IF(AND(YEAR($A108)=2012,YEAR($A109)=2013),SUM($J$12:$J108,$J109*(Y$8-$A108)/($A109-$A108)),"")))</f>
        <v/>
      </c>
    </row>
    <row r="108" spans="1:36" x14ac:dyDescent="0.2">
      <c r="A108" s="309" t="str">
        <f t="shared" si="3"/>
        <v/>
      </c>
      <c r="B108" s="168" t="str">
        <f>IF($E$5*$E$7&lt;96," ",96)</f>
        <v xml:space="preserve"> </v>
      </c>
      <c r="C108" s="201" t="str">
        <f>IF(AND(B106=" ",B107=" ",B108=" ")," ",IF(B107=" ",SUM(C$13:C106),IF(B108=" "," ",D108+E108)))</f>
        <v xml:space="preserve"> </v>
      </c>
      <c r="D108" s="201" t="str">
        <f>IF(AND(B106=" ",B107=" ",B108=" ")," ",IF(B107=" ",SUM(D$13:D106),IF(B108=" "," ",ROUND(F107*E$6/E$7,2))))</f>
        <v xml:space="preserve"> </v>
      </c>
      <c r="E108" s="201" t="str">
        <f>IF(AND(B106=" ",B107=" ",B108=" ")," ",IF(B107=" ",SUM(E$13:E106),IF(B108=" "," ",E$8)))</f>
        <v xml:space="preserve"> </v>
      </c>
      <c r="F108" s="201" t="str">
        <f>IF(AND(B106=" ",B107=" ",B108=" ")," ",IF(B107=" ",SUM(F$12:F105),IF(B108=" "," ",F107-E108)))</f>
        <v xml:space="preserve"> </v>
      </c>
      <c r="G108" s="201" t="str">
        <f>IF(AND(B106=" ",B107=" ",B108=" ")," ",IF(B107=" ",SUM(G$12:G106),IF(B109=" ",IF(E$5*E$7=B108,C108-C$7+C$8+G$10," "),C108)))</f>
        <v xml:space="preserve"> </v>
      </c>
      <c r="H108" s="204" t="str">
        <f>IF(AND(B106=" ",B107=" ",B108=" ")," ",IF(B107=" ",SUM(H$13:H106)*E$7,IF(B108=" "," ",IF(B109=" ",IF(E$5*E$7=B108,IRR(G$12:G108,0.01)," ")," "))))</f>
        <v xml:space="preserve"> </v>
      </c>
      <c r="I108" s="202" t="str">
        <f t="shared" si="4"/>
        <v/>
      </c>
      <c r="J108" s="202" t="str">
        <f t="shared" si="5"/>
        <v/>
      </c>
      <c r="K108" s="55"/>
      <c r="L108" s="56"/>
      <c r="O108" s="67"/>
      <c r="P108" s="67" t="str">
        <f>IF($A109="","",IF($A110="",IF(YEAR($A109)=2003,SUM($D$12:$D109),""),IF(AND(YEAR($A109)=2003,YEAR($A110)=2004),SUM($D$12:$D109,$D110*(P$8-$A109)/($A110-$A109)),"")))</f>
        <v/>
      </c>
      <c r="Q108" s="67" t="str">
        <f>IF(A109="","",IF(A110="",IF(YEAR(A109)=2004,SUM(D$12:D109),""),IF(AND(YEAR(A109)=2004,YEAR(A110)=2005),SUM(D$12:D109,D110*(Q$8-A109)/(A110-A109)),"")))</f>
        <v/>
      </c>
      <c r="R108" s="67" t="str">
        <f>IF(A109="","",IF(A110="",IF(YEAR(A109)=2005,SUM(D$12:D109),""),IF(AND(YEAR(A109)=2005,YEAR(A110)=2006),SUM(D$12:D109,D110*(R$8-A109)/(A110-A109)),"")))</f>
        <v/>
      </c>
      <c r="S108" s="67" t="str">
        <f>IF(A109="","",IF(A110="",IF(YEAR(A109)=2006,SUM(D$12:D109),""),IF(AND(YEAR(A109)=2006,YEAR(A110)=2007),SUM(D$12:D109,D110*(S$8-A109)/(A110-A109)),"")))</f>
        <v/>
      </c>
      <c r="T108" s="67" t="str">
        <f>IF(A109="","",IF(A110="",IF(YEAR(A109)=2007,SUM(D$12:D109),""),IF(AND(YEAR(A109)=2007,YEAR(A110)=2008),SUM(D$12:D109,D110*(T$8-A109)/(A110-A109)),"")))</f>
        <v/>
      </c>
      <c r="U108" s="67" t="str">
        <f>IF(A109="","",IF(A110="",IF(YEAR(A109)=2008,SUM(D$12:D109),""),IF(AND(YEAR(A109)=2008,YEAR(A110)=2009),SUM(D$12:D109,D110*(U$8-A109)/(A110-A109)),"")))</f>
        <v/>
      </c>
      <c r="V108" s="67" t="str">
        <f>IF(A109="","",IF(A110="",IF(YEAR(A109)=2009,SUM(D$12:D109),""),IF(AND(YEAR(A109)=2009,YEAR(A110)=2010),SUM(D$12:D109,D110*(V$8-A109)/(A110-A109)),"")))</f>
        <v/>
      </c>
      <c r="W108" s="67" t="str">
        <f>IF(A109="","",IF(A110="",IF(YEAR(A109)=2010,SUM(D$12:D109),""),IF(AND(YEAR(A109)=2010,YEAR(A110)=2011),SUM(D$12:D109,D110*(W$8-A109)/(A110-A109)),"")))</f>
        <v/>
      </c>
      <c r="X108" s="67" t="str">
        <f>IF(A109="","",IF(A110="",IF(YEAR(A109)=2011,SUM(D$12:D109),""),IF(AND(YEAR(A109)=2011,YEAR(A110)=2012),SUM(D$12:D109,D110*(X$8-A109)/(A110-A109)),"")))</f>
        <v/>
      </c>
      <c r="Y108" s="72" t="str">
        <f>IF(A109="","",IF(A110="",IF(YEAR(A109)=2012,SUM(D$12:D109),""),IF(AND(YEAR(A109)=2012,YEAR(A110)=2013),SUM(D$12:D109,D110*(Y$8-A109)/(A110-A109)),"")))</f>
        <v/>
      </c>
      <c r="Z108" s="67" t="str">
        <f>IF($A109="","",IF($A110="",IF(YEAR($A109)=2002,SUM($J$12:$J109),""),IF(AND(YEAR($A109)=2002,YEAR($A110)=2003),SUM($J$12:$J109,$J110*(O$8-$A109)/($A110-$A109)),"")))</f>
        <v/>
      </c>
      <c r="AA108" s="67" t="str">
        <f>IF($A109="","",IF($A110="",IF(YEAR($A109)=2003,SUM($J$12:$J109),""),IF(AND(YEAR($A109)=2003,YEAR($A110)=2004),SUM($J$12:$J109,$J110*(P$8-$A109)/($A110-$A109)),"")))</f>
        <v/>
      </c>
      <c r="AB108" s="67" t="str">
        <f>IF($A109="","",IF($A110="",IF(YEAR($A109)=2004,SUM($J$12:$J109),""),IF(AND(YEAR($A109)=2004,YEAR($A110)=2005),SUM($J$12:$J109,$J110*(Q$8-$A109)/($A110-$A109)),"")))</f>
        <v/>
      </c>
      <c r="AC108" s="67" t="str">
        <f>IF($A109="","",IF($A110="",IF(YEAR($A109)=2005,SUM($J$12:$J109),""),IF(AND(YEAR($A109)=2005,YEAR($A110)=2006),SUM($J$12:$J109,$J110*(R$8-$A109)/($A110-$A109)),"")))</f>
        <v/>
      </c>
      <c r="AD108" s="67" t="str">
        <f>IF($A109="","",IF($A110="",IF(YEAR($A109)=2006,SUM($J$12:$J109),""),IF(AND(YEAR($A109)=2006,YEAR($A110)=2007),SUM($J$12:$J109,$J110*(S$8-$A109)/($A110-$A109)),"")))</f>
        <v/>
      </c>
      <c r="AE108" s="67" t="str">
        <f>IF($A109="","",IF($A110="",IF(YEAR($A109)=2007,SUM($J$12:$J109),""),IF(AND(YEAR($A109)=2007,YEAR($A110)=2008),SUM($J$12:$J109,$J110*(T$8-$A109)/($A110-$A109)),"")))</f>
        <v/>
      </c>
      <c r="AF108" s="67" t="str">
        <f>IF($A109="","",IF($A110="",IF(YEAR($A109)=2008,SUM($J$12:$J109),""),IF(AND(YEAR($A109)=2008,YEAR($A110)=2009),SUM($J$12:$J109,$J110*(U$8-$A109)/($A110-$A109)),"")))</f>
        <v/>
      </c>
      <c r="AG108" s="67" t="str">
        <f>IF($A109="","",IF($A110="",IF(YEAR($A109)=2009,SUM($J$12:$J109),""),IF(AND(YEAR($A109)=2009,YEAR($A110)=2010),SUM($J$12:$J109,$J110*(V$8-$A109)/($A110-$A109)),"")))</f>
        <v/>
      </c>
      <c r="AH108" s="67" t="str">
        <f>IF($A109="","",IF($A110="",IF(YEAR($A109)=2010,SUM($J$12:$J109),""),IF(AND(YEAR($A109)=2010,YEAR($A110)=2011),SUM($J$12:$J109,$J110*(W$8-$A109)/($A110-$A109)),"")))</f>
        <v/>
      </c>
      <c r="AI108" s="67" t="str">
        <f>IF($A109="","",IF($A110="",IF(YEAR($A109)=2011,SUM($J$12:$J109),""),IF(AND(YEAR($A109)=2011,YEAR($A110)=2012),SUM($J$12:$J109,$J110*(X$8-$A109)/($A110-$A109)),"")))</f>
        <v/>
      </c>
      <c r="AJ108" s="67" t="str">
        <f>IF($A109="","",IF($A110="",IF(YEAR($A109)=2012,SUM($J$12:$J109),""),IF(AND(YEAR($A109)=2012,YEAR($A110)=2013),SUM($J$12:$J109,$J110*(Y$8-$A109)/($A110-$A109)),"")))</f>
        <v/>
      </c>
    </row>
    <row r="109" spans="1:36" x14ac:dyDescent="0.2">
      <c r="A109" s="309" t="str">
        <f t="shared" si="3"/>
        <v/>
      </c>
      <c r="B109" s="168" t="str">
        <f>IF($E$5*$E$7&lt;97," ",97)</f>
        <v xml:space="preserve"> </v>
      </c>
      <c r="C109" s="201" t="str">
        <f>IF(AND(B107=" ",B108=" ",B109=" ")," ",IF(B108=" ",SUM(C$13:C107),IF(B109=" "," ",D109+E109)))</f>
        <v xml:space="preserve"> </v>
      </c>
      <c r="D109" s="201" t="str">
        <f>IF(AND(B107=" ",B108=" ",B109=" ")," ",IF(B108=" ",SUM(D$13:D107),IF(B109=" "," ",ROUND(F108*E$6/E$7,2))))</f>
        <v xml:space="preserve"> </v>
      </c>
      <c r="E109" s="201" t="str">
        <f>IF(AND(B107=" ",B108=" ",B109=" ")," ",IF(B108=" ",SUM(E$13:E107),IF(B109=" "," ",E$8)))</f>
        <v xml:space="preserve"> </v>
      </c>
      <c r="F109" s="201" t="str">
        <f>IF(AND(B107=" ",B108=" ",B109=" ")," ",IF(B108=" ",SUM(F$12:F106),IF(B109=" "," ",F108-E109)))</f>
        <v xml:space="preserve"> </v>
      </c>
      <c r="G109" s="201" t="str">
        <f>IF(AND(B107=" ",B108=" ",B109=" ")," ",IF(B108=" ",SUM(G$12:G107),IF(B110=" ",IF(E$5*E$7=B109,C109-C$7+C$8+G$10," "),C109)))</f>
        <v xml:space="preserve"> </v>
      </c>
      <c r="H109" s="204" t="str">
        <f>IF(AND(B107=" ",B108=" ",B109=" ")," ",IF(B108=" ",SUM(H$13:H107)*E$7,IF(B109=" "," ",IF(B110=" ",IF(E$5*E$7=B109,IRR(G$12:G109,0.01)," ")," "))))</f>
        <v xml:space="preserve"> </v>
      </c>
      <c r="I109" s="202" t="str">
        <f t="shared" si="4"/>
        <v/>
      </c>
      <c r="J109" s="202" t="str">
        <f t="shared" si="5"/>
        <v/>
      </c>
      <c r="K109" s="55"/>
      <c r="L109" s="56"/>
      <c r="O109" s="67"/>
      <c r="P109" s="67" t="str">
        <f>IF($A110="","",IF($A111="",IF(YEAR($A110)=2003,SUM($D$12:$D110),""),IF(AND(YEAR($A110)=2003,YEAR($A111)=2004),SUM($D$12:$D110,$D111*(P$8-$A110)/($A111-$A110)),"")))</f>
        <v/>
      </c>
      <c r="Q109" s="67" t="str">
        <f>IF(A110="","",IF(A111="",IF(YEAR(A110)=2004,SUM(D$12:D110),""),IF(AND(YEAR(A110)=2004,YEAR(A111)=2005),SUM(D$12:D110,D111*(Q$8-A110)/(A111-A110)),"")))</f>
        <v/>
      </c>
      <c r="R109" s="67" t="str">
        <f>IF(A110="","",IF(A111="",IF(YEAR(A110)=2005,SUM(D$12:D110),""),IF(AND(YEAR(A110)=2005,YEAR(A111)=2006),SUM(D$12:D110,D111*(R$8-A110)/(A111-A110)),"")))</f>
        <v/>
      </c>
      <c r="S109" s="67" t="str">
        <f>IF(A110="","",IF(A111="",IF(YEAR(A110)=2006,SUM(D$12:D110),""),IF(AND(YEAR(A110)=2006,YEAR(A111)=2007),SUM(D$12:D110,D111*(S$8-A110)/(A111-A110)),"")))</f>
        <v/>
      </c>
      <c r="T109" s="67" t="str">
        <f>IF(A110="","",IF(A111="",IF(YEAR(A110)=2007,SUM(D$12:D110),""),IF(AND(YEAR(A110)=2007,YEAR(A111)=2008),SUM(D$12:D110,D111*(T$8-A110)/(A111-A110)),"")))</f>
        <v/>
      </c>
      <c r="U109" s="67" t="str">
        <f>IF(A110="","",IF(A111="",IF(YEAR(A110)=2008,SUM(D$12:D110),""),IF(AND(YEAR(A110)=2008,YEAR(A111)=2009),SUM(D$12:D110,D111*(U$8-A110)/(A111-A110)),"")))</f>
        <v/>
      </c>
      <c r="V109" s="67" t="str">
        <f>IF(A110="","",IF(A111="",IF(YEAR(A110)=2009,SUM(D$12:D110),""),IF(AND(YEAR(A110)=2009,YEAR(A111)=2010),SUM(D$12:D110,D111*(V$8-A110)/(A111-A110)),"")))</f>
        <v/>
      </c>
      <c r="W109" s="67" t="str">
        <f>IF(A110="","",IF(A111="",IF(YEAR(A110)=2010,SUM(D$12:D110),""),IF(AND(YEAR(A110)=2010,YEAR(A111)=2011),SUM(D$12:D110,D111*(W$8-A110)/(A111-A110)),"")))</f>
        <v/>
      </c>
      <c r="X109" s="67" t="str">
        <f>IF(A110="","",IF(A111="",IF(YEAR(A110)=2011,SUM(D$12:D110),""),IF(AND(YEAR(A110)=2011,YEAR(A111)=2012),SUM(D$12:D110,D111*(X$8-A110)/(A111-A110)),"")))</f>
        <v/>
      </c>
      <c r="Y109" s="72" t="str">
        <f>IF(A110="","",IF(A111="",IF(YEAR(A110)=2012,SUM(D$12:D110),""),IF(AND(YEAR(A110)=2012,YEAR(A111)=2013),SUM(D$12:D110,D111*(Y$8-A110)/(A111-A110)),"")))</f>
        <v/>
      </c>
      <c r="Z109" s="67" t="str">
        <f>IF($A110="","",IF($A111="",IF(YEAR($A110)=2002,SUM($J$12:$J110),""),IF(AND(YEAR($A110)=2002,YEAR($A111)=2003),SUM($J$12:$J110,$J111*(O$8-$A110)/($A111-$A110)),"")))</f>
        <v/>
      </c>
      <c r="AA109" s="67" t="str">
        <f>IF($A110="","",IF($A111="",IF(YEAR($A110)=2003,SUM($J$12:$J110),""),IF(AND(YEAR($A110)=2003,YEAR($A111)=2004),SUM($J$12:$J110,$J111*(P$8-$A110)/($A111-$A110)),"")))</f>
        <v/>
      </c>
      <c r="AB109" s="67" t="str">
        <f>IF($A110="","",IF($A111="",IF(YEAR($A110)=2004,SUM($J$12:$J110),""),IF(AND(YEAR($A110)=2004,YEAR($A111)=2005),SUM($J$12:$J110,$J111*(Q$8-$A110)/($A111-$A110)),"")))</f>
        <v/>
      </c>
      <c r="AC109" s="67" t="str">
        <f>IF($A110="","",IF($A111="",IF(YEAR($A110)=2005,SUM($J$12:$J110),""),IF(AND(YEAR($A110)=2005,YEAR($A111)=2006),SUM($J$12:$J110,$J111*(R$8-$A110)/($A111-$A110)),"")))</f>
        <v/>
      </c>
      <c r="AD109" s="67" t="str">
        <f>IF($A110="","",IF($A111="",IF(YEAR($A110)=2006,SUM($J$12:$J110),""),IF(AND(YEAR($A110)=2006,YEAR($A111)=2007),SUM($J$12:$J110,$J111*(S$8-$A110)/($A111-$A110)),"")))</f>
        <v/>
      </c>
      <c r="AE109" s="67" t="str">
        <f>IF($A110="","",IF($A111="",IF(YEAR($A110)=2007,SUM($J$12:$J110),""),IF(AND(YEAR($A110)=2007,YEAR($A111)=2008),SUM($J$12:$J110,$J111*(T$8-$A110)/($A111-$A110)),"")))</f>
        <v/>
      </c>
      <c r="AF109" s="67" t="str">
        <f>IF($A110="","",IF($A111="",IF(YEAR($A110)=2008,SUM($J$12:$J110),""),IF(AND(YEAR($A110)=2008,YEAR($A111)=2009),SUM($J$12:$J110,$J111*(U$8-$A110)/($A111-$A110)),"")))</f>
        <v/>
      </c>
      <c r="AG109" s="67" t="str">
        <f>IF($A110="","",IF($A111="",IF(YEAR($A110)=2009,SUM($J$12:$J110),""),IF(AND(YEAR($A110)=2009,YEAR($A111)=2010),SUM($J$12:$J110,$J111*(V$8-$A110)/($A111-$A110)),"")))</f>
        <v/>
      </c>
      <c r="AH109" s="67" t="str">
        <f>IF($A110="","",IF($A111="",IF(YEAR($A110)=2010,SUM($J$12:$J110),""),IF(AND(YEAR($A110)=2010,YEAR($A111)=2011),SUM($J$12:$J110,$J111*(W$8-$A110)/($A111-$A110)),"")))</f>
        <v/>
      </c>
      <c r="AI109" s="67" t="str">
        <f>IF($A110="","",IF($A111="",IF(YEAR($A110)=2011,SUM($J$12:$J110),""),IF(AND(YEAR($A110)=2011,YEAR($A111)=2012),SUM($J$12:$J110,$J111*(X$8-$A110)/($A111-$A110)),"")))</f>
        <v/>
      </c>
      <c r="AJ109" s="67" t="str">
        <f>IF($A110="","",IF($A111="",IF(YEAR($A110)=2012,SUM($J$12:$J110),""),IF(AND(YEAR($A110)=2012,YEAR($A111)=2013),SUM($J$12:$J110,$J111*(Y$8-$A110)/($A111-$A110)),"")))</f>
        <v/>
      </c>
    </row>
    <row r="110" spans="1:36" x14ac:dyDescent="0.2">
      <c r="A110" s="309" t="str">
        <f t="shared" si="3"/>
        <v/>
      </c>
      <c r="B110" s="168" t="str">
        <f>IF($E$5*$E$7&lt;98," ",98)</f>
        <v xml:space="preserve"> </v>
      </c>
      <c r="C110" s="201" t="str">
        <f>IF(AND(B108=" ",B109=" ",B110=" ")," ",IF(B109=" ",SUM(C$13:C108),IF(B110=" "," ",D110+E110)))</f>
        <v xml:space="preserve"> </v>
      </c>
      <c r="D110" s="201" t="str">
        <f>IF(AND(B108=" ",B109=" ",B110=" ")," ",IF(B109=" ",SUM(D$13:D108),IF(B110=" "," ",ROUND(F109*E$6/E$7,2))))</f>
        <v xml:space="preserve"> </v>
      </c>
      <c r="E110" s="201" t="str">
        <f>IF(AND(B108=" ",B109=" ",B110=" ")," ",IF(B109=" ",SUM(E$13:E108),IF(B110=" "," ",E$8)))</f>
        <v xml:space="preserve"> </v>
      </c>
      <c r="F110" s="201" t="str">
        <f>IF(AND(B108=" ",B109=" ",B110=" ")," ",IF(B109=" ",SUM(F$12:F107),IF(B110=" "," ",F109-E110)))</f>
        <v xml:space="preserve"> </v>
      </c>
      <c r="G110" s="201" t="str">
        <f>IF(AND(B108=" ",B109=" ",B110=" ")," ",IF(B109=" ",SUM(G$12:G108),IF(B111=" ",IF(E$5*E$7=B110,C110-C$7+C$8+G$10," "),C110)))</f>
        <v xml:space="preserve"> </v>
      </c>
      <c r="H110" s="204" t="str">
        <f>IF(AND(B108=" ",B109=" ",B110=" ")," ",IF(B109=" ",SUM(H$13:H108)*E$7,IF(B110=" "," ",IF(B111=" ",IF(E$5*E$7=B110,IRR(G$12:G110,0.01)," ")," "))))</f>
        <v xml:space="preserve"> </v>
      </c>
      <c r="I110" s="202" t="str">
        <f t="shared" si="4"/>
        <v/>
      </c>
      <c r="J110" s="202" t="str">
        <f t="shared" si="5"/>
        <v/>
      </c>
      <c r="K110" s="55"/>
      <c r="L110" s="56"/>
      <c r="O110" s="67"/>
      <c r="P110" s="67" t="str">
        <f>IF($A111="","",IF($A112="",IF(YEAR($A111)=2003,SUM($D$12:$D111),""),IF(AND(YEAR($A111)=2003,YEAR($A112)=2004),SUM($D$12:$D111,$D112*(P$8-$A111)/($A112-$A111)),"")))</f>
        <v/>
      </c>
      <c r="Q110" s="67" t="str">
        <f>IF(A111="","",IF(A112="",IF(YEAR(A111)=2004,SUM(D$12:D111),""),IF(AND(YEAR(A111)=2004,YEAR(A112)=2005),SUM(D$12:D111,D112*(Q$8-A111)/(A112-A111)),"")))</f>
        <v/>
      </c>
      <c r="R110" s="67" t="str">
        <f>IF(A111="","",IF(A112="",IF(YEAR(A111)=2005,SUM(D$12:D111),""),IF(AND(YEAR(A111)=2005,YEAR(A112)=2006),SUM(D$12:D111,D112*(R$8-A111)/(A112-A111)),"")))</f>
        <v/>
      </c>
      <c r="S110" s="67" t="str">
        <f>IF(A111="","",IF(A112="",IF(YEAR(A111)=2006,SUM(D$12:D111),""),IF(AND(YEAR(A111)=2006,YEAR(A112)=2007),SUM(D$12:D111,D112*(S$8-A111)/(A112-A111)),"")))</f>
        <v/>
      </c>
      <c r="T110" s="67" t="str">
        <f>IF(A111="","",IF(A112="",IF(YEAR(A111)=2007,SUM(D$12:D111),""),IF(AND(YEAR(A111)=2007,YEAR(A112)=2008),SUM(D$12:D111,D112*(T$8-A111)/(A112-A111)),"")))</f>
        <v/>
      </c>
      <c r="U110" s="67" t="str">
        <f>IF(A111="","",IF(A112="",IF(YEAR(A111)=2008,SUM(D$12:D111),""),IF(AND(YEAR(A111)=2008,YEAR(A112)=2009),SUM(D$12:D111,D112*(U$8-A111)/(A112-A111)),"")))</f>
        <v/>
      </c>
      <c r="V110" s="67" t="str">
        <f>IF(A111="","",IF(A112="",IF(YEAR(A111)=2009,SUM(D$12:D111),""),IF(AND(YEAR(A111)=2009,YEAR(A112)=2010),SUM(D$12:D111,D112*(V$8-A111)/(A112-A111)),"")))</f>
        <v/>
      </c>
      <c r="W110" s="67" t="str">
        <f>IF(A111="","",IF(A112="",IF(YEAR(A111)=2010,SUM(D$12:D111),""),IF(AND(YEAR(A111)=2010,YEAR(A112)=2011),SUM(D$12:D111,D112*(W$8-A111)/(A112-A111)),"")))</f>
        <v/>
      </c>
      <c r="X110" s="67" t="str">
        <f>IF(A111="","",IF(A112="",IF(YEAR(A111)=2011,SUM(D$12:D111),""),IF(AND(YEAR(A111)=2011,YEAR(A112)=2012),SUM(D$12:D111,D112*(X$8-A111)/(A112-A111)),"")))</f>
        <v/>
      </c>
      <c r="Y110" s="72" t="str">
        <f>IF(A111="","",IF(A112="",IF(YEAR(A111)=2012,SUM(D$12:D111),""),IF(AND(YEAR(A111)=2012,YEAR(A112)=2013),SUM(D$12:D111,D112*(Y$8-A111)/(A112-A111)),"")))</f>
        <v/>
      </c>
      <c r="Z110" s="67" t="str">
        <f>IF($A111="","",IF($A112="",IF(YEAR($A111)=2002,SUM($J$12:$J111),""),IF(AND(YEAR($A111)=2002,YEAR($A112)=2003),SUM($J$12:$J111,$J112*(O$8-$A111)/($A112-$A111)),"")))</f>
        <v/>
      </c>
      <c r="AA110" s="67" t="str">
        <f>IF($A111="","",IF($A112="",IF(YEAR($A111)=2003,SUM($J$12:$J111),""),IF(AND(YEAR($A111)=2003,YEAR($A112)=2004),SUM($J$12:$J111,$J112*(P$8-$A111)/($A112-$A111)),"")))</f>
        <v/>
      </c>
      <c r="AB110" s="67" t="str">
        <f>IF($A111="","",IF($A112="",IF(YEAR($A111)=2004,SUM($J$12:$J111),""),IF(AND(YEAR($A111)=2004,YEAR($A112)=2005),SUM($J$12:$J111,$J112*(Q$8-$A111)/($A112-$A111)),"")))</f>
        <v/>
      </c>
      <c r="AC110" s="67" t="str">
        <f>IF($A111="","",IF($A112="",IF(YEAR($A111)=2005,SUM($J$12:$J111),""),IF(AND(YEAR($A111)=2005,YEAR($A112)=2006),SUM($J$12:$J111,$J112*(R$8-$A111)/($A112-$A111)),"")))</f>
        <v/>
      </c>
      <c r="AD110" s="67" t="str">
        <f>IF($A111="","",IF($A112="",IF(YEAR($A111)=2006,SUM($J$12:$J111),""),IF(AND(YEAR($A111)=2006,YEAR($A112)=2007),SUM($J$12:$J111,$J112*(S$8-$A111)/($A112-$A111)),"")))</f>
        <v/>
      </c>
      <c r="AE110" s="67" t="str">
        <f>IF($A111="","",IF($A112="",IF(YEAR($A111)=2007,SUM($J$12:$J111),""),IF(AND(YEAR($A111)=2007,YEAR($A112)=2008),SUM($J$12:$J111,$J112*(T$8-$A111)/($A112-$A111)),"")))</f>
        <v/>
      </c>
      <c r="AF110" s="67" t="str">
        <f>IF($A111="","",IF($A112="",IF(YEAR($A111)=2008,SUM($J$12:$J111),""),IF(AND(YEAR($A111)=2008,YEAR($A112)=2009),SUM($J$12:$J111,$J112*(U$8-$A111)/($A112-$A111)),"")))</f>
        <v/>
      </c>
      <c r="AG110" s="67" t="str">
        <f>IF($A111="","",IF($A112="",IF(YEAR($A111)=2009,SUM($J$12:$J111),""),IF(AND(YEAR($A111)=2009,YEAR($A112)=2010),SUM($J$12:$J111,$J112*(V$8-$A111)/($A112-$A111)),"")))</f>
        <v/>
      </c>
      <c r="AH110" s="67" t="str">
        <f>IF($A111="","",IF($A112="",IF(YEAR($A111)=2010,SUM($J$12:$J111),""),IF(AND(YEAR($A111)=2010,YEAR($A112)=2011),SUM($J$12:$J111,$J112*(W$8-$A111)/($A112-$A111)),"")))</f>
        <v/>
      </c>
      <c r="AI110" s="67" t="str">
        <f>IF($A111="","",IF($A112="",IF(YEAR($A111)=2011,SUM($J$12:$J111),""),IF(AND(YEAR($A111)=2011,YEAR($A112)=2012),SUM($J$12:$J111,$J112*(X$8-$A111)/($A112-$A111)),"")))</f>
        <v/>
      </c>
      <c r="AJ110" s="67" t="str">
        <f>IF($A111="","",IF($A112="",IF(YEAR($A111)=2012,SUM($J$12:$J111),""),IF(AND(YEAR($A111)=2012,YEAR($A112)=2013),SUM($J$12:$J111,$J112*(Y$8-$A111)/($A112-$A111)),"")))</f>
        <v/>
      </c>
    </row>
    <row r="111" spans="1:36" x14ac:dyDescent="0.2">
      <c r="A111" s="309" t="str">
        <f t="shared" si="3"/>
        <v/>
      </c>
      <c r="B111" s="168" t="str">
        <f>IF($E$5*$E$7&lt;99," ",99)</f>
        <v xml:space="preserve"> </v>
      </c>
      <c r="C111" s="201" t="str">
        <f>IF(AND(B109=" ",B110=" ",B111=" ")," ",IF(B110=" ",SUM(C$13:C109),IF(B111=" "," ",D111+E111)))</f>
        <v xml:space="preserve"> </v>
      </c>
      <c r="D111" s="201" t="str">
        <f>IF(AND(B109=" ",B110=" ",B111=" ")," ",IF(B110=" ",SUM(D$13:D109),IF(B111=" "," ",ROUND(F110*E$6/E$7,2))))</f>
        <v xml:space="preserve"> </v>
      </c>
      <c r="E111" s="201" t="str">
        <f>IF(AND(B109=" ",B110=" ",B111=" ")," ",IF(B110=" ",SUM(E$13:E109),IF(B111=" "," ",E$8)))</f>
        <v xml:space="preserve"> </v>
      </c>
      <c r="F111" s="201" t="str">
        <f>IF(AND(B109=" ",B110=" ",B111=" ")," ",IF(B110=" ",SUM(F$12:F108),IF(B111=" "," ",F110-E111)))</f>
        <v xml:space="preserve"> </v>
      </c>
      <c r="G111" s="201" t="str">
        <f>IF(AND(B109=" ",B110=" ",B111=" ")," ",IF(B110=" ",SUM(G$12:G109),IF(B112=" ",IF(E$5*E$7=B111,C111-C$7+C$8+G$10," "),C111)))</f>
        <v xml:space="preserve"> </v>
      </c>
      <c r="H111" s="204" t="str">
        <f>IF(AND(B109=" ",B110=" ",B111=" ")," ",IF(B110=" ",SUM(H$13:H109)*E$7,IF(B111=" "," ",IF(B112=" ",IF(E$5*E$7=B111,IRR(G$12:G111,0.01)," ")," "))))</f>
        <v xml:space="preserve"> </v>
      </c>
      <c r="I111" s="202" t="str">
        <f t="shared" si="4"/>
        <v/>
      </c>
      <c r="J111" s="202" t="str">
        <f t="shared" si="5"/>
        <v/>
      </c>
      <c r="K111" s="55"/>
      <c r="L111" s="56"/>
      <c r="O111" s="67"/>
      <c r="P111" s="67" t="str">
        <f>IF($A112="","",IF($A113="",IF(YEAR($A112)=2003,SUM($D$12:$D112),""),IF(AND(YEAR($A112)=2003,YEAR($A113)=2004),SUM($D$12:$D112,$D113*(P$8-$A112)/($A113-$A112)),"")))</f>
        <v/>
      </c>
      <c r="Q111" s="67" t="str">
        <f>IF(A112="","",IF(A113="",IF(YEAR(A112)=2004,SUM(D$12:D112),""),IF(AND(YEAR(A112)=2004,YEAR(A113)=2005),SUM(D$12:D112,D113*(Q$8-A112)/(A113-A112)),"")))</f>
        <v/>
      </c>
      <c r="R111" s="67" t="str">
        <f>IF(A112="","",IF(A113="",IF(YEAR(A112)=2005,SUM(D$12:D112),""),IF(AND(YEAR(A112)=2005,YEAR(A113)=2006),SUM(D$12:D112,D113*(R$8-A112)/(A113-A112)),"")))</f>
        <v/>
      </c>
      <c r="S111" s="67" t="str">
        <f>IF(A112="","",IF(A113="",IF(YEAR(A112)=2006,SUM(D$12:D112),""),IF(AND(YEAR(A112)=2006,YEAR(A113)=2007),SUM(D$12:D112,D113*(S$8-A112)/(A113-A112)),"")))</f>
        <v/>
      </c>
      <c r="T111" s="67" t="str">
        <f>IF(A112="","",IF(A113="",IF(YEAR(A112)=2007,SUM(D$12:D112),""),IF(AND(YEAR(A112)=2007,YEAR(A113)=2008),SUM(D$12:D112,D113*(T$8-A112)/(A113-A112)),"")))</f>
        <v/>
      </c>
      <c r="U111" s="67" t="str">
        <f>IF(A112="","",IF(A113="",IF(YEAR(A112)=2008,SUM(D$12:D112),""),IF(AND(YEAR(A112)=2008,YEAR(A113)=2009),SUM(D$12:D112,D113*(U$8-A112)/(A113-A112)),"")))</f>
        <v/>
      </c>
      <c r="V111" s="67" t="str">
        <f>IF(A112="","",IF(A113="",IF(YEAR(A112)=2009,SUM(D$12:D112),""),IF(AND(YEAR(A112)=2009,YEAR(A113)=2010),SUM(D$12:D112,D113*(V$8-A112)/(A113-A112)),"")))</f>
        <v/>
      </c>
      <c r="W111" s="67" t="str">
        <f>IF(A112="","",IF(A113="",IF(YEAR(A112)=2010,SUM(D$12:D112),""),IF(AND(YEAR(A112)=2010,YEAR(A113)=2011),SUM(D$12:D112,D113*(W$8-A112)/(A113-A112)),"")))</f>
        <v/>
      </c>
      <c r="X111" s="67" t="str">
        <f>IF(A112="","",IF(A113="",IF(YEAR(A112)=2011,SUM(D$12:D112),""),IF(AND(YEAR(A112)=2011,YEAR(A113)=2012),SUM(D$12:D112,D113*(X$8-A112)/(A113-A112)),"")))</f>
        <v/>
      </c>
      <c r="Y111" s="72" t="str">
        <f>IF(A112="","",IF(A113="",IF(YEAR(A112)=2012,SUM(D$12:D112),""),IF(AND(YEAR(A112)=2012,YEAR(A113)=2013),SUM(D$12:D112,D113*(Y$8-A112)/(A113-A112)),"")))</f>
        <v/>
      </c>
      <c r="Z111" s="67" t="str">
        <f>IF($A112="","",IF($A113="",IF(YEAR($A112)=2002,SUM($J$12:$J112),""),IF(AND(YEAR($A112)=2002,YEAR($A113)=2003),SUM($J$12:$J112,$J113*(O$8-$A112)/($A113-$A112)),"")))</f>
        <v/>
      </c>
      <c r="AA111" s="67" t="str">
        <f>IF($A112="","",IF($A113="",IF(YEAR($A112)=2003,SUM($J$12:$J112),""),IF(AND(YEAR($A112)=2003,YEAR($A113)=2004),SUM($J$12:$J112,$J113*(P$8-$A112)/($A113-$A112)),"")))</f>
        <v/>
      </c>
      <c r="AB111" s="67" t="str">
        <f>IF($A112="","",IF($A113="",IF(YEAR($A112)=2004,SUM($J$12:$J112),""),IF(AND(YEAR($A112)=2004,YEAR($A113)=2005),SUM($J$12:$J112,$J113*(Q$8-$A112)/($A113-$A112)),"")))</f>
        <v/>
      </c>
      <c r="AC111" s="67" t="str">
        <f>IF($A112="","",IF($A113="",IF(YEAR($A112)=2005,SUM($J$12:$J112),""),IF(AND(YEAR($A112)=2005,YEAR($A113)=2006),SUM($J$12:$J112,$J113*(R$8-$A112)/($A113-$A112)),"")))</f>
        <v/>
      </c>
      <c r="AD111" s="67" t="str">
        <f>IF($A112="","",IF($A113="",IF(YEAR($A112)=2006,SUM($J$12:$J112),""),IF(AND(YEAR($A112)=2006,YEAR($A113)=2007),SUM($J$12:$J112,$J113*(S$8-$A112)/($A113-$A112)),"")))</f>
        <v/>
      </c>
      <c r="AE111" s="67" t="str">
        <f>IF($A112="","",IF($A113="",IF(YEAR($A112)=2007,SUM($J$12:$J112),""),IF(AND(YEAR($A112)=2007,YEAR($A113)=2008),SUM($J$12:$J112,$J113*(T$8-$A112)/($A113-$A112)),"")))</f>
        <v/>
      </c>
      <c r="AF111" s="67" t="str">
        <f>IF($A112="","",IF($A113="",IF(YEAR($A112)=2008,SUM($J$12:$J112),""),IF(AND(YEAR($A112)=2008,YEAR($A113)=2009),SUM($J$12:$J112,$J113*(U$8-$A112)/($A113-$A112)),"")))</f>
        <v/>
      </c>
      <c r="AG111" s="67" t="str">
        <f>IF($A112="","",IF($A113="",IF(YEAR($A112)=2009,SUM($J$12:$J112),""),IF(AND(YEAR($A112)=2009,YEAR($A113)=2010),SUM($J$12:$J112,$J113*(V$8-$A112)/($A113-$A112)),"")))</f>
        <v/>
      </c>
      <c r="AH111" s="67" t="str">
        <f>IF($A112="","",IF($A113="",IF(YEAR($A112)=2010,SUM($J$12:$J112),""),IF(AND(YEAR($A112)=2010,YEAR($A113)=2011),SUM($J$12:$J112,$J113*(W$8-$A112)/($A113-$A112)),"")))</f>
        <v/>
      </c>
      <c r="AI111" s="67" t="str">
        <f>IF($A112="","",IF($A113="",IF(YEAR($A112)=2011,SUM($J$12:$J112),""),IF(AND(YEAR($A112)=2011,YEAR($A113)=2012),SUM($J$12:$J112,$J113*(X$8-$A112)/($A113-$A112)),"")))</f>
        <v/>
      </c>
      <c r="AJ111" s="67" t="str">
        <f>IF($A112="","",IF($A113="",IF(YEAR($A112)=2012,SUM($J$12:$J112),""),IF(AND(YEAR($A112)=2012,YEAR($A113)=2013),SUM($J$12:$J112,$J113*(Y$8-$A112)/($A113-$A112)),"")))</f>
        <v/>
      </c>
    </row>
    <row r="112" spans="1:36" x14ac:dyDescent="0.2">
      <c r="A112" s="309" t="str">
        <f t="shared" si="3"/>
        <v/>
      </c>
      <c r="B112" s="168" t="str">
        <f>IF($E$5*$E$7&lt;100," ",100)</f>
        <v xml:space="preserve"> </v>
      </c>
      <c r="C112" s="201" t="str">
        <f>IF(AND(B110=" ",B111=" ",B112=" ")," ",IF(B111=" ",SUM(C$13:C110),IF(B112=" "," ",D112+E112)))</f>
        <v xml:space="preserve"> </v>
      </c>
      <c r="D112" s="201" t="str">
        <f>IF(AND(B110=" ",B111=" ",B112=" ")," ",IF(B111=" ",SUM(D$13:D110),IF(B112=" "," ",ROUND(F111*E$6/E$7,2))))</f>
        <v xml:space="preserve"> </v>
      </c>
      <c r="E112" s="201" t="str">
        <f>IF(AND(B110=" ",B111=" ",B112=" ")," ",IF(B111=" ",SUM(E$13:E110),IF(B112=" "," ",E$8)))</f>
        <v xml:space="preserve"> </v>
      </c>
      <c r="F112" s="201" t="str">
        <f>IF(AND(B110=" ",B111=" ",B112=" ")," ",IF(B111=" ",SUM(F$12:F109),IF(B112=" "," ",F111-E112)))</f>
        <v xml:space="preserve"> </v>
      </c>
      <c r="G112" s="201" t="str">
        <f>IF(AND(B110=" ",B111=" ",B112=" ")," ",IF(B111=" ",SUM(G$12:G110),IF(B113=" ",IF(E$5*E$7=B112,C112-C$7+C$8+G$10," "),C112)))</f>
        <v xml:space="preserve"> </v>
      </c>
      <c r="H112" s="204" t="str">
        <f>IF(AND(B110=" ",B111=" ",B112=" ")," ",IF(B111=" ",SUM(H$13:H110)*E$7,IF(B112=" "," ",IF(B113=" ",IF(E$5*E$7=B112,IRR(G$12:G112,0.01)," ")," "))))</f>
        <v xml:space="preserve"> </v>
      </c>
      <c r="I112" s="202" t="str">
        <f t="shared" si="4"/>
        <v/>
      </c>
      <c r="J112" s="202" t="str">
        <f t="shared" si="5"/>
        <v/>
      </c>
      <c r="K112" s="55"/>
      <c r="L112" s="56"/>
      <c r="O112" s="67"/>
      <c r="P112" s="67" t="str">
        <f>IF($A113="","",IF($A114="",IF(YEAR($A113)=2003,SUM($D$12:$D113),""),IF(AND(YEAR($A113)=2003,YEAR($A114)=2004),SUM($D$12:$D113,$D114*(P$8-$A113)/($A114-$A113)),"")))</f>
        <v/>
      </c>
      <c r="Q112" s="67" t="str">
        <f>IF(A113="","",IF(A114="",IF(YEAR(A113)=2004,SUM(D$12:D113),""),IF(AND(YEAR(A113)=2004,YEAR(A114)=2005),SUM(D$12:D113,D114*(Q$8-A113)/(A114-A113)),"")))</f>
        <v/>
      </c>
      <c r="R112" s="67" t="str">
        <f>IF(A113="","",IF(A114="",IF(YEAR(A113)=2005,SUM(D$12:D113),""),IF(AND(YEAR(A113)=2005,YEAR(A114)=2006),SUM(D$12:D113,D114*(R$8-A113)/(A114-A113)),"")))</f>
        <v/>
      </c>
      <c r="S112" s="67" t="str">
        <f>IF(A113="","",IF(A114="",IF(YEAR(A113)=2006,SUM(D$12:D113),""),IF(AND(YEAR(A113)=2006,YEAR(A114)=2007),SUM(D$12:D113,D114*(S$8-A113)/(A114-A113)),"")))</f>
        <v/>
      </c>
      <c r="T112" s="67" t="str">
        <f>IF(A113="","",IF(A114="",IF(YEAR(A113)=2007,SUM(D$12:D113),""),IF(AND(YEAR(A113)=2007,YEAR(A114)=2008),SUM(D$12:D113,D114*(T$8-A113)/(A114-A113)),"")))</f>
        <v/>
      </c>
      <c r="U112" s="67" t="str">
        <f>IF(A113="","",IF(A114="",IF(YEAR(A113)=2008,SUM(D$12:D113),""),IF(AND(YEAR(A113)=2008,YEAR(A114)=2009),SUM(D$12:D113,D114*(U$8-A113)/(A114-A113)),"")))</f>
        <v/>
      </c>
      <c r="V112" s="67" t="str">
        <f>IF(A113="","",IF(A114="",IF(YEAR(A113)=2009,SUM(D$12:D113),""),IF(AND(YEAR(A113)=2009,YEAR(A114)=2010),SUM(D$12:D113,D114*(V$8-A113)/(A114-A113)),"")))</f>
        <v/>
      </c>
      <c r="W112" s="67" t="str">
        <f>IF(A113="","",IF(A114="",IF(YEAR(A113)=2010,SUM(D$12:D113),""),IF(AND(YEAR(A113)=2010,YEAR(A114)=2011),SUM(D$12:D113,D114*(W$8-A113)/(A114-A113)),"")))</f>
        <v/>
      </c>
      <c r="X112" s="67" t="str">
        <f>IF(A113="","",IF(A114="",IF(YEAR(A113)=2011,SUM(D$12:D113),""),IF(AND(YEAR(A113)=2011,YEAR(A114)=2012),SUM(D$12:D113,D114*(X$8-A113)/(A114-A113)),"")))</f>
        <v/>
      </c>
      <c r="Y112" s="72" t="str">
        <f>IF(A113="","",IF(A114="",IF(YEAR(A113)=2012,SUM(D$12:D113),""),IF(AND(YEAR(A113)=2012,YEAR(A114)=2013),SUM(D$12:D113,D114*(Y$8-A113)/(A114-A113)),"")))</f>
        <v/>
      </c>
      <c r="Z112" s="67" t="str">
        <f>IF($A113="","",IF($A114="",IF(YEAR($A113)=2002,SUM($J$12:$J113),""),IF(AND(YEAR($A113)=2002,YEAR($A114)=2003),SUM($J$12:$J113,$J114*(O$8-$A113)/($A114-$A113)),"")))</f>
        <v/>
      </c>
      <c r="AA112" s="67" t="str">
        <f>IF($A113="","",IF($A114="",IF(YEAR($A113)=2003,SUM($J$12:$J113),""),IF(AND(YEAR($A113)=2003,YEAR($A114)=2004),SUM($J$12:$J113,$J114*(P$8-$A113)/($A114-$A113)),"")))</f>
        <v/>
      </c>
      <c r="AB112" s="67" t="str">
        <f>IF($A113="","",IF($A114="",IF(YEAR($A113)=2004,SUM($J$12:$J113),""),IF(AND(YEAR($A113)=2004,YEAR($A114)=2005),SUM($J$12:$J113,$J114*(Q$8-$A113)/($A114-$A113)),"")))</f>
        <v/>
      </c>
      <c r="AC112" s="67" t="str">
        <f>IF($A113="","",IF($A114="",IF(YEAR($A113)=2005,SUM($J$12:$J113),""),IF(AND(YEAR($A113)=2005,YEAR($A114)=2006),SUM($J$12:$J113,$J114*(R$8-$A113)/($A114-$A113)),"")))</f>
        <v/>
      </c>
      <c r="AD112" s="67" t="str">
        <f>IF($A113="","",IF($A114="",IF(YEAR($A113)=2006,SUM($J$12:$J113),""),IF(AND(YEAR($A113)=2006,YEAR($A114)=2007),SUM($J$12:$J113,$J114*(S$8-$A113)/($A114-$A113)),"")))</f>
        <v/>
      </c>
      <c r="AE112" s="67" t="str">
        <f>IF($A113="","",IF($A114="",IF(YEAR($A113)=2007,SUM($J$12:$J113),""),IF(AND(YEAR($A113)=2007,YEAR($A114)=2008),SUM($J$12:$J113,$J114*(T$8-$A113)/($A114-$A113)),"")))</f>
        <v/>
      </c>
      <c r="AF112" s="67" t="str">
        <f>IF($A113="","",IF($A114="",IF(YEAR($A113)=2008,SUM($J$12:$J113),""),IF(AND(YEAR($A113)=2008,YEAR($A114)=2009),SUM($J$12:$J113,$J114*(U$8-$A113)/($A114-$A113)),"")))</f>
        <v/>
      </c>
      <c r="AG112" s="67" t="str">
        <f>IF($A113="","",IF($A114="",IF(YEAR($A113)=2009,SUM($J$12:$J113),""),IF(AND(YEAR($A113)=2009,YEAR($A114)=2010),SUM($J$12:$J113,$J114*(V$8-$A113)/($A114-$A113)),"")))</f>
        <v/>
      </c>
      <c r="AH112" s="67" t="str">
        <f>IF($A113="","",IF($A114="",IF(YEAR($A113)=2010,SUM($J$12:$J113),""),IF(AND(YEAR($A113)=2010,YEAR($A114)=2011),SUM($J$12:$J113,$J114*(W$8-$A113)/($A114-$A113)),"")))</f>
        <v/>
      </c>
      <c r="AI112" s="67" t="str">
        <f>IF($A113="","",IF($A114="",IF(YEAR($A113)=2011,SUM($J$12:$J113),""),IF(AND(YEAR($A113)=2011,YEAR($A114)=2012),SUM($J$12:$J113,$J114*(X$8-$A113)/($A114-$A113)),"")))</f>
        <v/>
      </c>
      <c r="AJ112" s="67" t="str">
        <f>IF($A113="","",IF($A114="",IF(YEAR($A113)=2012,SUM($J$12:$J113),""),IF(AND(YEAR($A113)=2012,YEAR($A114)=2013),SUM($J$12:$J113,$J114*(Y$8-$A113)/($A114-$A113)),"")))</f>
        <v/>
      </c>
    </row>
    <row r="113" spans="1:36" x14ac:dyDescent="0.2">
      <c r="A113" s="309" t="str">
        <f t="shared" si="3"/>
        <v/>
      </c>
      <c r="B113" s="168" t="str">
        <f>IF($E$5*$E$7&lt;101," ",101)</f>
        <v xml:space="preserve"> </v>
      </c>
      <c r="C113" s="201" t="str">
        <f>IF(AND(B111=" ",B112=" ",B113=" ")," ",IF(B112=" ",SUM(C$13:C111),IF(B113=" "," ",D113+E113)))</f>
        <v xml:space="preserve"> </v>
      </c>
      <c r="D113" s="201" t="str">
        <f>IF(AND(B111=" ",B112=" ",B113=" ")," ",IF(B112=" ",SUM(D$13:D111),IF(B113=" "," ",ROUND(F112*E$6/E$7,2))))</f>
        <v xml:space="preserve"> </v>
      </c>
      <c r="E113" s="201" t="str">
        <f>IF(AND(B111=" ",B112=" ",B113=" ")," ",IF(B112=" ",SUM(E$13:E111),IF(B113=" "," ",E$8)))</f>
        <v xml:space="preserve"> </v>
      </c>
      <c r="F113" s="201" t="str">
        <f>IF(AND(B111=" ",B112=" ",B113=" ")," ",IF(B112=" ",SUM(F$12:F110),IF(B113=" "," ",F112-E113)))</f>
        <v xml:space="preserve"> </v>
      </c>
      <c r="G113" s="201" t="str">
        <f>IF(AND(B111=" ",B112=" ",B113=" ")," ",IF(B112=" ",SUM(G$12:G111),IF(B114=" ",IF(E$5*E$7=B113,C113-C$7+C$8+G$10," "),C113)))</f>
        <v xml:space="preserve"> </v>
      </c>
      <c r="H113" s="204" t="str">
        <f>IF(AND(B111=" ",B112=" ",B113=" ")," ",IF(B112=" ",SUM(H$13:H111)*E$7,IF(B113=" "," ",IF(B114=" ",IF(E$5*E$7=B113,IRR(G$12:G113,0.01)," ")," "))))</f>
        <v xml:space="preserve"> </v>
      </c>
      <c r="I113" s="202" t="str">
        <f t="shared" si="4"/>
        <v/>
      </c>
      <c r="J113" s="202" t="str">
        <f t="shared" si="5"/>
        <v/>
      </c>
      <c r="K113" s="55"/>
      <c r="L113" s="56"/>
      <c r="O113" s="67"/>
      <c r="P113" s="67" t="str">
        <f>IF($A114="","",IF($A115="",IF(YEAR($A114)=2003,SUM($D$12:$D114),""),IF(AND(YEAR($A114)=2003,YEAR($A115)=2004),SUM($D$12:$D114,$D115*(P$8-$A114)/($A115-$A114)),"")))</f>
        <v/>
      </c>
      <c r="Q113" s="67" t="str">
        <f>IF(A114="","",IF(A115="",IF(YEAR(A114)=2004,SUM(D$12:D114),""),IF(AND(YEAR(A114)=2004,YEAR(A115)=2005),SUM(D$12:D114,D115*(Q$8-A114)/(A115-A114)),"")))</f>
        <v/>
      </c>
      <c r="R113" s="67" t="str">
        <f>IF(A114="","",IF(A115="",IF(YEAR(A114)=2005,SUM(D$12:D114),""),IF(AND(YEAR(A114)=2005,YEAR(A115)=2006),SUM(D$12:D114,D115*(R$8-A114)/(A115-A114)),"")))</f>
        <v/>
      </c>
      <c r="S113" s="67" t="str">
        <f>IF(A114="","",IF(A115="",IF(YEAR(A114)=2006,SUM(D$12:D114),""),IF(AND(YEAR(A114)=2006,YEAR(A115)=2007),SUM(D$12:D114,D115*(S$8-A114)/(A115-A114)),"")))</f>
        <v/>
      </c>
      <c r="T113" s="67" t="str">
        <f>IF(A114="","",IF(A115="",IF(YEAR(A114)=2007,SUM(D$12:D114),""),IF(AND(YEAR(A114)=2007,YEAR(A115)=2008),SUM(D$12:D114,D115*(T$8-A114)/(A115-A114)),"")))</f>
        <v/>
      </c>
      <c r="U113" s="67" t="str">
        <f>IF(A114="","",IF(A115="",IF(YEAR(A114)=2008,SUM(D$12:D114),""),IF(AND(YEAR(A114)=2008,YEAR(A115)=2009),SUM(D$12:D114,D115*(U$8-A114)/(A115-A114)),"")))</f>
        <v/>
      </c>
      <c r="V113" s="67" t="str">
        <f>IF(A114="","",IF(A115="",IF(YEAR(A114)=2009,SUM(D$12:D114),""),IF(AND(YEAR(A114)=2009,YEAR(A115)=2010),SUM(D$12:D114,D115*(V$8-A114)/(A115-A114)),"")))</f>
        <v/>
      </c>
      <c r="W113" s="67" t="str">
        <f>IF(A114="","",IF(A115="",IF(YEAR(A114)=2010,SUM(D$12:D114),""),IF(AND(YEAR(A114)=2010,YEAR(A115)=2011),SUM(D$12:D114,D115*(W$8-A114)/(A115-A114)),"")))</f>
        <v/>
      </c>
      <c r="X113" s="67" t="str">
        <f>IF(A114="","",IF(A115="",IF(YEAR(A114)=2011,SUM(D$12:D114),""),IF(AND(YEAR(A114)=2011,YEAR(A115)=2012),SUM(D$12:D114,D115*(X$8-A114)/(A115-A114)),"")))</f>
        <v/>
      </c>
      <c r="Y113" s="72" t="str">
        <f>IF(A114="","",IF(A115="",IF(YEAR(A114)=2012,SUM(D$12:D114),""),IF(AND(YEAR(A114)=2012,YEAR(A115)=2013),SUM(D$12:D114,D115*(Y$8-A114)/(A115-A114)),"")))</f>
        <v/>
      </c>
      <c r="Z113" s="67" t="str">
        <f>IF($A114="","",IF($A115="",IF(YEAR($A114)=2002,SUM($J$12:$J114),""),IF(AND(YEAR($A114)=2002,YEAR($A115)=2003),SUM($J$12:$J114,$J115*(O$8-$A114)/($A115-$A114)),"")))</f>
        <v/>
      </c>
      <c r="AA113" s="67" t="str">
        <f>IF($A114="","",IF($A115="",IF(YEAR($A114)=2003,SUM($J$12:$J114),""),IF(AND(YEAR($A114)=2003,YEAR($A115)=2004),SUM($J$12:$J114,$J115*(P$8-$A114)/($A115-$A114)),"")))</f>
        <v/>
      </c>
      <c r="AB113" s="67" t="str">
        <f>IF($A114="","",IF($A115="",IF(YEAR($A114)=2004,SUM($J$12:$J114),""),IF(AND(YEAR($A114)=2004,YEAR($A115)=2005),SUM($J$12:$J114,$J115*(Q$8-$A114)/($A115-$A114)),"")))</f>
        <v/>
      </c>
      <c r="AC113" s="67" t="str">
        <f>IF($A114="","",IF($A115="",IF(YEAR($A114)=2005,SUM($J$12:$J114),""),IF(AND(YEAR($A114)=2005,YEAR($A115)=2006),SUM($J$12:$J114,$J115*(R$8-$A114)/($A115-$A114)),"")))</f>
        <v/>
      </c>
      <c r="AD113" s="67" t="str">
        <f>IF($A114="","",IF($A115="",IF(YEAR($A114)=2006,SUM($J$12:$J114),""),IF(AND(YEAR($A114)=2006,YEAR($A115)=2007),SUM($J$12:$J114,$J115*(S$8-$A114)/($A115-$A114)),"")))</f>
        <v/>
      </c>
      <c r="AE113" s="67" t="str">
        <f>IF($A114="","",IF($A115="",IF(YEAR($A114)=2007,SUM($J$12:$J114),""),IF(AND(YEAR($A114)=2007,YEAR($A115)=2008),SUM($J$12:$J114,$J115*(T$8-$A114)/($A115-$A114)),"")))</f>
        <v/>
      </c>
      <c r="AF113" s="67" t="str">
        <f>IF($A114="","",IF($A115="",IF(YEAR($A114)=2008,SUM($J$12:$J114),""),IF(AND(YEAR($A114)=2008,YEAR($A115)=2009),SUM($J$12:$J114,$J115*(U$8-$A114)/($A115-$A114)),"")))</f>
        <v/>
      </c>
      <c r="AG113" s="67" t="str">
        <f>IF($A114="","",IF($A115="",IF(YEAR($A114)=2009,SUM($J$12:$J114),""),IF(AND(YEAR($A114)=2009,YEAR($A115)=2010),SUM($J$12:$J114,$J115*(V$8-$A114)/($A115-$A114)),"")))</f>
        <v/>
      </c>
      <c r="AH113" s="67" t="str">
        <f>IF($A114="","",IF($A115="",IF(YEAR($A114)=2010,SUM($J$12:$J114),""),IF(AND(YEAR($A114)=2010,YEAR($A115)=2011),SUM($J$12:$J114,$J115*(W$8-$A114)/($A115-$A114)),"")))</f>
        <v/>
      </c>
      <c r="AI113" s="67" t="str">
        <f>IF($A114="","",IF($A115="",IF(YEAR($A114)=2011,SUM($J$12:$J114),""),IF(AND(YEAR($A114)=2011,YEAR($A115)=2012),SUM($J$12:$J114,$J115*(X$8-$A114)/($A115-$A114)),"")))</f>
        <v/>
      </c>
      <c r="AJ113" s="67" t="str">
        <f>IF($A114="","",IF($A115="",IF(YEAR($A114)=2012,SUM($J$12:$J114),""),IF(AND(YEAR($A114)=2012,YEAR($A115)=2013),SUM($J$12:$J114,$J115*(Y$8-$A114)/($A115-$A114)),"")))</f>
        <v/>
      </c>
    </row>
    <row r="114" spans="1:36" x14ac:dyDescent="0.2">
      <c r="A114" s="309" t="str">
        <f t="shared" si="3"/>
        <v/>
      </c>
      <c r="B114" s="168" t="str">
        <f>IF($E$5*$E$7&lt;102," ",102)</f>
        <v xml:space="preserve"> </v>
      </c>
      <c r="C114" s="201" t="str">
        <f>IF(AND(B112=" ",B113=" ",B114=" ")," ",IF(B113=" ",SUM(C$13:C112),IF(B114=" "," ",D114+E114)))</f>
        <v xml:space="preserve"> </v>
      </c>
      <c r="D114" s="201" t="str">
        <f>IF(AND(B112=" ",B113=" ",B114=" ")," ",IF(B113=" ",SUM(D$13:D112),IF(B114=" "," ",ROUND(F113*E$6/E$7,2))))</f>
        <v xml:space="preserve"> </v>
      </c>
      <c r="E114" s="201" t="str">
        <f>IF(AND(B112=" ",B113=" ",B114=" ")," ",IF(B113=" ",SUM(E$13:E112),IF(B114=" "," ",E$8)))</f>
        <v xml:space="preserve"> </v>
      </c>
      <c r="F114" s="201" t="str">
        <f>IF(AND(B112=" ",B113=" ",B114=" ")," ",IF(B113=" ",SUM(F$12:F111),IF(B114=" "," ",F113-E114)))</f>
        <v xml:space="preserve"> </v>
      </c>
      <c r="G114" s="201" t="str">
        <f>IF(AND(B112=" ",B113=" ",B114=" ")," ",IF(B113=" ",SUM(G$12:G112),IF(B115=" ",IF(E$5*E$7=B114,C114-C$7+C$8+G$10," "),C114)))</f>
        <v xml:space="preserve"> </v>
      </c>
      <c r="H114" s="204" t="str">
        <f>IF(AND(B112=" ",B113=" ",B114=" ")," ",IF(B113=" ",SUM(H$13:H112)*E$7,IF(B114=" "," ",IF(B115=" ",IF(E$5*E$7=B114,IRR(G$12:G114,0.01)," ")," "))))</f>
        <v xml:space="preserve"> </v>
      </c>
      <c r="I114" s="202" t="str">
        <f t="shared" si="4"/>
        <v/>
      </c>
      <c r="J114" s="202" t="str">
        <f t="shared" si="5"/>
        <v/>
      </c>
      <c r="K114" s="55"/>
      <c r="L114" s="56"/>
      <c r="O114" s="67"/>
      <c r="P114" s="67" t="str">
        <f>IF($A115="","",IF($A116="",IF(YEAR($A115)=2003,SUM($D$12:$D115),""),IF(AND(YEAR($A115)=2003,YEAR($A116)=2004),SUM($D$12:$D115,$D116*(P$8-$A115)/($A116-$A115)),"")))</f>
        <v/>
      </c>
      <c r="Q114" s="67" t="str">
        <f>IF(A115="","",IF(A116="",IF(YEAR(A115)=2004,SUM(D$12:D115),""),IF(AND(YEAR(A115)=2004,YEAR(A116)=2005),SUM(D$12:D115,D116*(Q$8-A115)/(A116-A115)),"")))</f>
        <v/>
      </c>
      <c r="R114" s="67" t="str">
        <f>IF(A115="","",IF(A116="",IF(YEAR(A115)=2005,SUM(D$12:D115),""),IF(AND(YEAR(A115)=2005,YEAR(A116)=2006),SUM(D$12:D115,D116*(R$8-A115)/(A116-A115)),"")))</f>
        <v/>
      </c>
      <c r="S114" s="67" t="str">
        <f>IF(A115="","",IF(A116="",IF(YEAR(A115)=2006,SUM(D$12:D115),""),IF(AND(YEAR(A115)=2006,YEAR(A116)=2007),SUM(D$12:D115,D116*(S$8-A115)/(A116-A115)),"")))</f>
        <v/>
      </c>
      <c r="T114" s="67" t="str">
        <f>IF(A115="","",IF(A116="",IF(YEAR(A115)=2007,SUM(D$12:D115),""),IF(AND(YEAR(A115)=2007,YEAR(A116)=2008),SUM(D$12:D115,D116*(T$8-A115)/(A116-A115)),"")))</f>
        <v/>
      </c>
      <c r="U114" s="67" t="str">
        <f>IF(A115="","",IF(A116="",IF(YEAR(A115)=2008,SUM(D$12:D115),""),IF(AND(YEAR(A115)=2008,YEAR(A116)=2009),SUM(D$12:D115,D116*(U$8-A115)/(A116-A115)),"")))</f>
        <v/>
      </c>
      <c r="V114" s="67" t="str">
        <f>IF(A115="","",IF(A116="",IF(YEAR(A115)=2009,SUM(D$12:D115),""),IF(AND(YEAR(A115)=2009,YEAR(A116)=2010),SUM(D$12:D115,D116*(V$8-A115)/(A116-A115)),"")))</f>
        <v/>
      </c>
      <c r="W114" s="67" t="str">
        <f>IF(A115="","",IF(A116="",IF(YEAR(A115)=2010,SUM(D$12:D115),""),IF(AND(YEAR(A115)=2010,YEAR(A116)=2011),SUM(D$12:D115,D116*(W$8-A115)/(A116-A115)),"")))</f>
        <v/>
      </c>
      <c r="X114" s="67" t="str">
        <f>IF(A115="","",IF(A116="",IF(YEAR(A115)=2011,SUM(D$12:D115),""),IF(AND(YEAR(A115)=2011,YEAR(A116)=2012),SUM(D$12:D115,D116*(X$8-A115)/(A116-A115)),"")))</f>
        <v/>
      </c>
      <c r="Y114" s="72" t="str">
        <f>IF(A115="","",IF(A116="",IF(YEAR(A115)=2012,SUM(D$12:D115),""),IF(AND(YEAR(A115)=2012,YEAR(A116)=2013),SUM(D$12:D115,D116*(Y$8-A115)/(A116-A115)),"")))</f>
        <v/>
      </c>
      <c r="Z114" s="67" t="str">
        <f>IF($A115="","",IF($A116="",IF(YEAR($A115)=2002,SUM($J$12:$J115),""),IF(AND(YEAR($A115)=2002,YEAR($A116)=2003),SUM($J$12:$J115,$J116*(O$8-$A115)/($A116-$A115)),"")))</f>
        <v/>
      </c>
      <c r="AA114" s="67" t="str">
        <f>IF($A115="","",IF($A116="",IF(YEAR($A115)=2003,SUM($J$12:$J115),""),IF(AND(YEAR($A115)=2003,YEAR($A116)=2004),SUM($J$12:$J115,$J116*(P$8-$A115)/($A116-$A115)),"")))</f>
        <v/>
      </c>
      <c r="AB114" s="67" t="str">
        <f>IF($A115="","",IF($A116="",IF(YEAR($A115)=2004,SUM($J$12:$J115),""),IF(AND(YEAR($A115)=2004,YEAR($A116)=2005),SUM($J$12:$J115,$J116*(Q$8-$A115)/($A116-$A115)),"")))</f>
        <v/>
      </c>
      <c r="AC114" s="67" t="str">
        <f>IF($A115="","",IF($A116="",IF(YEAR($A115)=2005,SUM($J$12:$J115),""),IF(AND(YEAR($A115)=2005,YEAR($A116)=2006),SUM($J$12:$J115,$J116*(R$8-$A115)/($A116-$A115)),"")))</f>
        <v/>
      </c>
      <c r="AD114" s="67" t="str">
        <f>IF($A115="","",IF($A116="",IF(YEAR($A115)=2006,SUM($J$12:$J115),""),IF(AND(YEAR($A115)=2006,YEAR($A116)=2007),SUM($J$12:$J115,$J116*(S$8-$A115)/($A116-$A115)),"")))</f>
        <v/>
      </c>
      <c r="AE114" s="67" t="str">
        <f>IF($A115="","",IF($A116="",IF(YEAR($A115)=2007,SUM($J$12:$J115),""),IF(AND(YEAR($A115)=2007,YEAR($A116)=2008),SUM($J$12:$J115,$J116*(T$8-$A115)/($A116-$A115)),"")))</f>
        <v/>
      </c>
      <c r="AF114" s="67" t="str">
        <f>IF($A115="","",IF($A116="",IF(YEAR($A115)=2008,SUM($J$12:$J115),""),IF(AND(YEAR($A115)=2008,YEAR($A116)=2009),SUM($J$12:$J115,$J116*(U$8-$A115)/($A116-$A115)),"")))</f>
        <v/>
      </c>
      <c r="AG114" s="67" t="str">
        <f>IF($A115="","",IF($A116="",IF(YEAR($A115)=2009,SUM($J$12:$J115),""),IF(AND(YEAR($A115)=2009,YEAR($A116)=2010),SUM($J$12:$J115,$J116*(V$8-$A115)/($A116-$A115)),"")))</f>
        <v/>
      </c>
      <c r="AH114" s="67" t="str">
        <f>IF($A115="","",IF($A116="",IF(YEAR($A115)=2010,SUM($J$12:$J115),""),IF(AND(YEAR($A115)=2010,YEAR($A116)=2011),SUM($J$12:$J115,$J116*(W$8-$A115)/($A116-$A115)),"")))</f>
        <v/>
      </c>
      <c r="AI114" s="67" t="str">
        <f>IF($A115="","",IF($A116="",IF(YEAR($A115)=2011,SUM($J$12:$J115),""),IF(AND(YEAR($A115)=2011,YEAR($A116)=2012),SUM($J$12:$J115,$J116*(X$8-$A115)/($A116-$A115)),"")))</f>
        <v/>
      </c>
      <c r="AJ114" s="67" t="str">
        <f>IF($A115="","",IF($A116="",IF(YEAR($A115)=2012,SUM($J$12:$J115),""),IF(AND(YEAR($A115)=2012,YEAR($A116)=2013),SUM($J$12:$J115,$J116*(Y$8-$A115)/($A116-$A115)),"")))</f>
        <v/>
      </c>
    </row>
    <row r="115" spans="1:36" x14ac:dyDescent="0.2">
      <c r="A115" s="309" t="str">
        <f t="shared" si="3"/>
        <v/>
      </c>
      <c r="B115" s="168" t="str">
        <f>IF($E$5*$E$7&lt;103," ",103)</f>
        <v xml:space="preserve"> </v>
      </c>
      <c r="C115" s="201" t="str">
        <f>IF(AND(B113=" ",B114=" ",B115=" ")," ",IF(B114=" ",SUM(C$13:C113),IF(B115=" "," ",D115+E115)))</f>
        <v xml:space="preserve"> </v>
      </c>
      <c r="D115" s="201" t="str">
        <f>IF(AND(B113=" ",B114=" ",B115=" ")," ",IF(B114=" ",SUM(D$13:D113),IF(B115=" "," ",ROUND(F114*E$6/E$7,2))))</f>
        <v xml:space="preserve"> </v>
      </c>
      <c r="E115" s="201" t="str">
        <f>IF(AND(B113=" ",B114=" ",B115=" ")," ",IF(B114=" ",SUM(E$13:E113),IF(B115=" "," ",E$8)))</f>
        <v xml:space="preserve"> </v>
      </c>
      <c r="F115" s="201" t="str">
        <f>IF(AND(B113=" ",B114=" ",B115=" ")," ",IF(B114=" ",SUM(F$12:F112),IF(B115=" "," ",F114-E115)))</f>
        <v xml:space="preserve"> </v>
      </c>
      <c r="G115" s="201" t="str">
        <f>IF(AND(B113=" ",B114=" ",B115=" ")," ",IF(B114=" ",SUM(G$12:G113),IF(B116=" ",IF(E$5*E$7=B115,C115-C$7+C$8+G$10," "),C115)))</f>
        <v xml:space="preserve"> </v>
      </c>
      <c r="H115" s="204" t="str">
        <f>IF(AND(B113=" ",B114=" ",B115=" ")," ",IF(B114=" ",SUM(H$13:H113)*E$7,IF(B115=" "," ",IF(B116=" ",IF(E$5*E$7=B115,IRR(G$12:G115,0.01)," ")," "))))</f>
        <v xml:space="preserve"> </v>
      </c>
      <c r="I115" s="202" t="str">
        <f t="shared" si="4"/>
        <v/>
      </c>
      <c r="J115" s="202" t="str">
        <f t="shared" si="5"/>
        <v/>
      </c>
      <c r="K115" s="55"/>
      <c r="L115" s="56"/>
      <c r="O115" s="67"/>
      <c r="P115" s="67" t="str">
        <f>IF($A116="","",IF($A117="",IF(YEAR($A116)=2003,SUM($D$12:$D116),""),IF(AND(YEAR($A116)=2003,YEAR($A117)=2004),SUM($D$12:$D116,$D117*(P$8-$A116)/($A117-$A116)),"")))</f>
        <v/>
      </c>
      <c r="Q115" s="67" t="str">
        <f>IF(A116="","",IF(A117="",IF(YEAR(A116)=2004,SUM(D$12:D116),""),IF(AND(YEAR(A116)=2004,YEAR(A117)=2005),SUM(D$12:D116,D117*(Q$8-A116)/(A117-A116)),"")))</f>
        <v/>
      </c>
      <c r="R115" s="67" t="str">
        <f>IF(A116="","",IF(A117="",IF(YEAR(A116)=2005,SUM(D$12:D116),""),IF(AND(YEAR(A116)=2005,YEAR(A117)=2006),SUM(D$12:D116,D117*(R$8-A116)/(A117-A116)),"")))</f>
        <v/>
      </c>
      <c r="S115" s="67" t="str">
        <f>IF(A116="","",IF(A117="",IF(YEAR(A116)=2006,SUM(D$12:D116),""),IF(AND(YEAR(A116)=2006,YEAR(A117)=2007),SUM(D$12:D116,D117*(S$8-A116)/(A117-A116)),"")))</f>
        <v/>
      </c>
      <c r="T115" s="67" t="str">
        <f>IF(A116="","",IF(A117="",IF(YEAR(A116)=2007,SUM(D$12:D116),""),IF(AND(YEAR(A116)=2007,YEAR(A117)=2008),SUM(D$12:D116,D117*(T$8-A116)/(A117-A116)),"")))</f>
        <v/>
      </c>
      <c r="U115" s="67" t="str">
        <f>IF(A116="","",IF(A117="",IF(YEAR(A116)=2008,SUM(D$12:D116),""),IF(AND(YEAR(A116)=2008,YEAR(A117)=2009),SUM(D$12:D116,D117*(U$8-A116)/(A117-A116)),"")))</f>
        <v/>
      </c>
      <c r="V115" s="67" t="str">
        <f>IF(A116="","",IF(A117="",IF(YEAR(A116)=2009,SUM(D$12:D116),""),IF(AND(YEAR(A116)=2009,YEAR(A117)=2010),SUM(D$12:D116,D117*(V$8-A116)/(A117-A116)),"")))</f>
        <v/>
      </c>
      <c r="W115" s="67" t="str">
        <f>IF(A116="","",IF(A117="",IF(YEAR(A116)=2010,SUM(D$12:D116),""),IF(AND(YEAR(A116)=2010,YEAR(A117)=2011),SUM(D$12:D116,D117*(W$8-A116)/(A117-A116)),"")))</f>
        <v/>
      </c>
      <c r="X115" s="67" t="str">
        <f>IF(A116="","",IF(A117="",IF(YEAR(A116)=2011,SUM(D$12:D116),""),IF(AND(YEAR(A116)=2011,YEAR(A117)=2012),SUM(D$12:D116,D117*(X$8-A116)/(A117-A116)),"")))</f>
        <v/>
      </c>
      <c r="Y115" s="72" t="str">
        <f>IF(A116="","",IF(A117="",IF(YEAR(A116)=2012,SUM(D$12:D116),""),IF(AND(YEAR(A116)=2012,YEAR(A117)=2013),SUM(D$12:D116,D117*(Y$8-A116)/(A117-A116)),"")))</f>
        <v/>
      </c>
      <c r="Z115" s="67" t="str">
        <f>IF($A116="","",IF($A117="",IF(YEAR($A116)=2002,SUM($J$12:$J116),""),IF(AND(YEAR($A116)=2002,YEAR($A117)=2003),SUM($J$12:$J116,$J117*(O$8-$A116)/($A117-$A116)),"")))</f>
        <v/>
      </c>
      <c r="AA115" s="67" t="str">
        <f>IF($A116="","",IF($A117="",IF(YEAR($A116)=2003,SUM($J$12:$J116),""),IF(AND(YEAR($A116)=2003,YEAR($A117)=2004),SUM($J$12:$J116,$J117*(P$8-$A116)/($A117-$A116)),"")))</f>
        <v/>
      </c>
      <c r="AB115" s="67" t="str">
        <f>IF($A116="","",IF($A117="",IF(YEAR($A116)=2004,SUM($J$12:$J116),""),IF(AND(YEAR($A116)=2004,YEAR($A117)=2005),SUM($J$12:$J116,$J117*(Q$8-$A116)/($A117-$A116)),"")))</f>
        <v/>
      </c>
      <c r="AC115" s="67" t="str">
        <f>IF($A116="","",IF($A117="",IF(YEAR($A116)=2005,SUM($J$12:$J116),""),IF(AND(YEAR($A116)=2005,YEAR($A117)=2006),SUM($J$12:$J116,$J117*(R$8-$A116)/($A117-$A116)),"")))</f>
        <v/>
      </c>
      <c r="AD115" s="67" t="str">
        <f>IF($A116="","",IF($A117="",IF(YEAR($A116)=2006,SUM($J$12:$J116),""),IF(AND(YEAR($A116)=2006,YEAR($A117)=2007),SUM($J$12:$J116,$J117*(S$8-$A116)/($A117-$A116)),"")))</f>
        <v/>
      </c>
      <c r="AE115" s="67" t="str">
        <f>IF($A116="","",IF($A117="",IF(YEAR($A116)=2007,SUM($J$12:$J116),""),IF(AND(YEAR($A116)=2007,YEAR($A117)=2008),SUM($J$12:$J116,$J117*(T$8-$A116)/($A117-$A116)),"")))</f>
        <v/>
      </c>
      <c r="AF115" s="67" t="str">
        <f>IF($A116="","",IF($A117="",IF(YEAR($A116)=2008,SUM($J$12:$J116),""),IF(AND(YEAR($A116)=2008,YEAR($A117)=2009),SUM($J$12:$J116,$J117*(U$8-$A116)/($A117-$A116)),"")))</f>
        <v/>
      </c>
      <c r="AG115" s="67" t="str">
        <f>IF($A116="","",IF($A117="",IF(YEAR($A116)=2009,SUM($J$12:$J116),""),IF(AND(YEAR($A116)=2009,YEAR($A117)=2010),SUM($J$12:$J116,$J117*(V$8-$A116)/($A117-$A116)),"")))</f>
        <v/>
      </c>
      <c r="AH115" s="67" t="str">
        <f>IF($A116="","",IF($A117="",IF(YEAR($A116)=2010,SUM($J$12:$J116),""),IF(AND(YEAR($A116)=2010,YEAR($A117)=2011),SUM($J$12:$J116,$J117*(W$8-$A116)/($A117-$A116)),"")))</f>
        <v/>
      </c>
      <c r="AI115" s="67" t="str">
        <f>IF($A116="","",IF($A117="",IF(YEAR($A116)=2011,SUM($J$12:$J116),""),IF(AND(YEAR($A116)=2011,YEAR($A117)=2012),SUM($J$12:$J116,$J117*(X$8-$A116)/($A117-$A116)),"")))</f>
        <v/>
      </c>
      <c r="AJ115" s="67" t="str">
        <f>IF($A116="","",IF($A117="",IF(YEAR($A116)=2012,SUM($J$12:$J116),""),IF(AND(YEAR($A116)=2012,YEAR($A117)=2013),SUM($J$12:$J116,$J117*(Y$8-$A116)/($A117-$A116)),"")))</f>
        <v/>
      </c>
    </row>
    <row r="116" spans="1:36" x14ac:dyDescent="0.2">
      <c r="A116" s="309" t="str">
        <f t="shared" si="3"/>
        <v/>
      </c>
      <c r="B116" s="168" t="str">
        <f>IF($E$5*$E$7&lt;104," ",104)</f>
        <v xml:space="preserve"> </v>
      </c>
      <c r="C116" s="201" t="str">
        <f>IF(AND(B114=" ",B115=" ",B116=" ")," ",IF(B115=" ",SUM(C$13:C114),IF(B116=" "," ",D116+E116)))</f>
        <v xml:space="preserve"> </v>
      </c>
      <c r="D116" s="201" t="str">
        <f>IF(AND(B114=" ",B115=" ",B116=" ")," ",IF(B115=" ",SUM(D$13:D114),IF(B116=" "," ",ROUND(F115*E$6/E$7,2))))</f>
        <v xml:space="preserve"> </v>
      </c>
      <c r="E116" s="201" t="str">
        <f>IF(AND(B114=" ",B115=" ",B116=" ")," ",IF(B115=" ",SUM(E$13:E114),IF(B116=" "," ",E$8)))</f>
        <v xml:space="preserve"> </v>
      </c>
      <c r="F116" s="201" t="str">
        <f>IF(AND(B114=" ",B115=" ",B116=" ")," ",IF(B115=" ",SUM(F$12:F113),IF(B116=" "," ",F115-E116)))</f>
        <v xml:space="preserve"> </v>
      </c>
      <c r="G116" s="201" t="str">
        <f>IF(AND(B114=" ",B115=" ",B116=" ")," ",IF(B115=" ",SUM(G$12:G114),IF(B117=" ",IF(E$5*E$7=B116,C116-C$7+C$8+G$10," "),C116)))</f>
        <v xml:space="preserve"> </v>
      </c>
      <c r="H116" s="204" t="str">
        <f>IF(AND(B114=" ",B115=" ",B116=" ")," ",IF(B115=" ",SUM(H$13:H114)*E$7,IF(B116=" "," ",IF(B117=" ",IF(E$5*E$7=B116,IRR(G$12:G116,0.01)," ")," "))))</f>
        <v xml:space="preserve"> </v>
      </c>
      <c r="I116" s="202" t="str">
        <f t="shared" si="4"/>
        <v/>
      </c>
      <c r="J116" s="202" t="str">
        <f t="shared" si="5"/>
        <v/>
      </c>
      <c r="K116" s="55"/>
      <c r="L116" s="56"/>
      <c r="O116" s="67"/>
      <c r="P116" s="67" t="str">
        <f>IF($A117="","",IF($A118="",IF(YEAR($A117)=2003,SUM($D$12:$D117),""),IF(AND(YEAR($A117)=2003,YEAR($A118)=2004),SUM($D$12:$D117,$D118*(P$8-$A117)/($A118-$A117)),"")))</f>
        <v/>
      </c>
      <c r="Q116" s="67" t="str">
        <f>IF(A117="","",IF(A118="",IF(YEAR(A117)=2004,SUM(D$12:D117),""),IF(AND(YEAR(A117)=2004,YEAR(A118)=2005),SUM(D$12:D117,D118*(Q$8-A117)/(A118-A117)),"")))</f>
        <v/>
      </c>
      <c r="R116" s="67" t="str">
        <f>IF(A117="","",IF(A118="",IF(YEAR(A117)=2005,SUM(D$12:D117),""),IF(AND(YEAR(A117)=2005,YEAR(A118)=2006),SUM(D$12:D117,D118*(R$8-A117)/(A118-A117)),"")))</f>
        <v/>
      </c>
      <c r="S116" s="67" t="str">
        <f>IF(A117="","",IF(A118="",IF(YEAR(A117)=2006,SUM(D$12:D117),""),IF(AND(YEAR(A117)=2006,YEAR(A118)=2007),SUM(D$12:D117,D118*(S$8-A117)/(A118-A117)),"")))</f>
        <v/>
      </c>
      <c r="T116" s="67" t="str">
        <f>IF(A117="","",IF(A118="",IF(YEAR(A117)=2007,SUM(D$12:D117),""),IF(AND(YEAR(A117)=2007,YEAR(A118)=2008),SUM(D$12:D117,D118*(T$8-A117)/(A118-A117)),"")))</f>
        <v/>
      </c>
      <c r="U116" s="67" t="str">
        <f>IF(A117="","",IF(A118="",IF(YEAR(A117)=2008,SUM(D$12:D117),""),IF(AND(YEAR(A117)=2008,YEAR(A118)=2009),SUM(D$12:D117,D118*(U$8-A117)/(A118-A117)),"")))</f>
        <v/>
      </c>
      <c r="V116" s="67" t="str">
        <f>IF(A117="","",IF(A118="",IF(YEAR(A117)=2009,SUM(D$12:D117),""),IF(AND(YEAR(A117)=2009,YEAR(A118)=2010),SUM(D$12:D117,D118*(V$8-A117)/(A118-A117)),"")))</f>
        <v/>
      </c>
      <c r="W116" s="67" t="str">
        <f>IF(A117="","",IF(A118="",IF(YEAR(A117)=2010,SUM(D$12:D117),""),IF(AND(YEAR(A117)=2010,YEAR(A118)=2011),SUM(D$12:D117,D118*(W$8-A117)/(A118-A117)),"")))</f>
        <v/>
      </c>
      <c r="X116" s="67" t="str">
        <f>IF(A117="","",IF(A118="",IF(YEAR(A117)=2011,SUM(D$12:D117),""),IF(AND(YEAR(A117)=2011,YEAR(A118)=2012),SUM(D$12:D117,D118*(X$8-A117)/(A118-A117)),"")))</f>
        <v/>
      </c>
      <c r="Y116" s="72" t="str">
        <f>IF(A117="","",IF(A118="",IF(YEAR(A117)=2012,SUM(D$12:D117),""),IF(AND(YEAR(A117)=2012,YEAR(A118)=2013),SUM(D$12:D117,D118*(Y$8-A117)/(A118-A117)),"")))</f>
        <v/>
      </c>
      <c r="Z116" s="67" t="str">
        <f>IF($A117="","",IF($A118="",IF(YEAR($A117)=2002,SUM($J$12:$J117),""),IF(AND(YEAR($A117)=2002,YEAR($A118)=2003),SUM($J$12:$J117,$J118*(O$8-$A117)/($A118-$A117)),"")))</f>
        <v/>
      </c>
      <c r="AA116" s="67" t="str">
        <f>IF($A117="","",IF($A118="",IF(YEAR($A117)=2003,SUM($J$12:$J117),""),IF(AND(YEAR($A117)=2003,YEAR($A118)=2004),SUM($J$12:$J117,$J118*(P$8-$A117)/($A118-$A117)),"")))</f>
        <v/>
      </c>
      <c r="AB116" s="67" t="str">
        <f>IF($A117="","",IF($A118="",IF(YEAR($A117)=2004,SUM($J$12:$J117),""),IF(AND(YEAR($A117)=2004,YEAR($A118)=2005),SUM($J$12:$J117,$J118*(Q$8-$A117)/($A118-$A117)),"")))</f>
        <v/>
      </c>
      <c r="AC116" s="67" t="str">
        <f>IF($A117="","",IF($A118="",IF(YEAR($A117)=2005,SUM($J$12:$J117),""),IF(AND(YEAR($A117)=2005,YEAR($A118)=2006),SUM($J$12:$J117,$J118*(R$8-$A117)/($A118-$A117)),"")))</f>
        <v/>
      </c>
      <c r="AD116" s="67" t="str">
        <f>IF($A117="","",IF($A118="",IF(YEAR($A117)=2006,SUM($J$12:$J117),""),IF(AND(YEAR($A117)=2006,YEAR($A118)=2007),SUM($J$12:$J117,$J118*(S$8-$A117)/($A118-$A117)),"")))</f>
        <v/>
      </c>
      <c r="AE116" s="67" t="str">
        <f>IF($A117="","",IF($A118="",IF(YEAR($A117)=2007,SUM($J$12:$J117),""),IF(AND(YEAR($A117)=2007,YEAR($A118)=2008),SUM($J$12:$J117,$J118*(T$8-$A117)/($A118-$A117)),"")))</f>
        <v/>
      </c>
      <c r="AF116" s="67" t="str">
        <f>IF($A117="","",IF($A118="",IF(YEAR($A117)=2008,SUM($J$12:$J117),""),IF(AND(YEAR($A117)=2008,YEAR($A118)=2009),SUM($J$12:$J117,$J118*(U$8-$A117)/($A118-$A117)),"")))</f>
        <v/>
      </c>
      <c r="AG116" s="67" t="str">
        <f>IF($A117="","",IF($A118="",IF(YEAR($A117)=2009,SUM($J$12:$J117),""),IF(AND(YEAR($A117)=2009,YEAR($A118)=2010),SUM($J$12:$J117,$J118*(V$8-$A117)/($A118-$A117)),"")))</f>
        <v/>
      </c>
      <c r="AH116" s="67" t="str">
        <f>IF($A117="","",IF($A118="",IF(YEAR($A117)=2010,SUM($J$12:$J117),""),IF(AND(YEAR($A117)=2010,YEAR($A118)=2011),SUM($J$12:$J117,$J118*(W$8-$A117)/($A118-$A117)),"")))</f>
        <v/>
      </c>
      <c r="AI116" s="67" t="str">
        <f>IF($A117="","",IF($A118="",IF(YEAR($A117)=2011,SUM($J$12:$J117),""),IF(AND(YEAR($A117)=2011,YEAR($A118)=2012),SUM($J$12:$J117,$J118*(X$8-$A117)/($A118-$A117)),"")))</f>
        <v/>
      </c>
      <c r="AJ116" s="67" t="str">
        <f>IF($A117="","",IF($A118="",IF(YEAR($A117)=2012,SUM($J$12:$J117),""),IF(AND(YEAR($A117)=2012,YEAR($A118)=2013),SUM($J$12:$J117,$J118*(Y$8-$A117)/($A118-$A117)),"")))</f>
        <v/>
      </c>
    </row>
    <row r="117" spans="1:36" x14ac:dyDescent="0.2">
      <c r="A117" s="309" t="str">
        <f t="shared" si="3"/>
        <v/>
      </c>
      <c r="B117" s="168" t="str">
        <f>IF($E$5*$E$7&lt;105," ",105)</f>
        <v xml:space="preserve"> </v>
      </c>
      <c r="C117" s="201" t="str">
        <f>IF(AND(B115=" ",B116=" ",B117=" ")," ",IF(B116=" ",SUM(C$13:C115),IF(B117=" "," ",D117+E117)))</f>
        <v xml:space="preserve"> </v>
      </c>
      <c r="D117" s="201" t="str">
        <f>IF(AND(B115=" ",B116=" ",B117=" ")," ",IF(B116=" ",SUM(D$13:D115),IF(B117=" "," ",ROUND(F116*E$6/E$7,2))))</f>
        <v xml:space="preserve"> </v>
      </c>
      <c r="E117" s="201" t="str">
        <f>IF(AND(B115=" ",B116=" ",B117=" ")," ",IF(B116=" ",SUM(E$13:E115),IF(B117=" "," ",E$8)))</f>
        <v xml:space="preserve"> </v>
      </c>
      <c r="F117" s="201" t="str">
        <f>IF(AND(B115=" ",B116=" ",B117=" ")," ",IF(B116=" ",SUM(F$12:F114),IF(B117=" "," ",F116-E117)))</f>
        <v xml:space="preserve"> </v>
      </c>
      <c r="G117" s="201" t="str">
        <f>IF(AND(B115=" ",B116=" ",B117=" ")," ",IF(B116=" ",SUM(G$12:G115),IF(B118=" ",IF(E$5*E$7=B117,C117-C$7+C$8+G$10," "),C117)))</f>
        <v xml:space="preserve"> </v>
      </c>
      <c r="H117" s="204" t="str">
        <f>IF(AND(B115=" ",B116=" ",B117=" ")," ",IF(B116=" ",SUM(H$13:H115)*E$7,IF(B117=" "," ",IF(B118=" ",IF(E$5*E$7=B117,IRR(G$12:G117,0.01)," ")," "))))</f>
        <v xml:space="preserve"> </v>
      </c>
      <c r="I117" s="202" t="str">
        <f t="shared" si="4"/>
        <v/>
      </c>
      <c r="J117" s="202" t="str">
        <f t="shared" si="5"/>
        <v/>
      </c>
      <c r="K117" s="55"/>
      <c r="L117" s="56"/>
      <c r="O117" s="67"/>
      <c r="P117" s="67" t="str">
        <f>IF($A118="","",IF($A119="",IF(YEAR($A118)=2003,SUM($D$12:$D118),""),IF(AND(YEAR($A118)=2003,YEAR($A119)=2004),SUM($D$12:$D118,$D119*(P$8-$A118)/($A119-$A118)),"")))</f>
        <v/>
      </c>
      <c r="Q117" s="67" t="str">
        <f>IF(A118="","",IF(A119="",IF(YEAR(A118)=2004,SUM(D$12:D118),""),IF(AND(YEAR(A118)=2004,YEAR(A119)=2005),SUM(D$12:D118,D119*(Q$8-A118)/(A119-A118)),"")))</f>
        <v/>
      </c>
      <c r="R117" s="67" t="str">
        <f>IF(A118="","",IF(A119="",IF(YEAR(A118)=2005,SUM(D$12:D118),""),IF(AND(YEAR(A118)=2005,YEAR(A119)=2006),SUM(D$12:D118,D119*(R$8-A118)/(A119-A118)),"")))</f>
        <v/>
      </c>
      <c r="S117" s="67" t="str">
        <f>IF(A118="","",IF(A119="",IF(YEAR(A118)=2006,SUM(D$12:D118),""),IF(AND(YEAR(A118)=2006,YEAR(A119)=2007),SUM(D$12:D118,D119*(S$8-A118)/(A119-A118)),"")))</f>
        <v/>
      </c>
      <c r="T117" s="67" t="str">
        <f>IF(A118="","",IF(A119="",IF(YEAR(A118)=2007,SUM(D$12:D118),""),IF(AND(YEAR(A118)=2007,YEAR(A119)=2008),SUM(D$12:D118,D119*(T$8-A118)/(A119-A118)),"")))</f>
        <v/>
      </c>
      <c r="U117" s="67" t="str">
        <f>IF(A118="","",IF(A119="",IF(YEAR(A118)=2008,SUM(D$12:D118),""),IF(AND(YEAR(A118)=2008,YEAR(A119)=2009),SUM(D$12:D118,D119*(U$8-A118)/(A119-A118)),"")))</f>
        <v/>
      </c>
      <c r="V117" s="67" t="str">
        <f>IF(A118="","",IF(A119="",IF(YEAR(A118)=2009,SUM(D$12:D118),""),IF(AND(YEAR(A118)=2009,YEAR(A119)=2010),SUM(D$12:D118,D119*(V$8-A118)/(A119-A118)),"")))</f>
        <v/>
      </c>
      <c r="W117" s="67" t="str">
        <f>IF(A118="","",IF(A119="",IF(YEAR(A118)=2010,SUM(D$12:D118),""),IF(AND(YEAR(A118)=2010,YEAR(A119)=2011),SUM(D$12:D118,D119*(W$8-A118)/(A119-A118)),"")))</f>
        <v/>
      </c>
      <c r="X117" s="67" t="str">
        <f>IF(A118="","",IF(A119="",IF(YEAR(A118)=2011,SUM(D$12:D118),""),IF(AND(YEAR(A118)=2011,YEAR(A119)=2012),SUM(D$12:D118,D119*(X$8-A118)/(A119-A118)),"")))</f>
        <v/>
      </c>
      <c r="Y117" s="72" t="str">
        <f>IF(A118="","",IF(A119="",IF(YEAR(A118)=2012,SUM(D$12:D118),""),IF(AND(YEAR(A118)=2012,YEAR(A119)=2013),SUM(D$12:D118,D119*(Y$8-A118)/(A119-A118)),"")))</f>
        <v/>
      </c>
      <c r="Z117" s="67" t="str">
        <f>IF($A118="","",IF($A119="",IF(YEAR($A118)=2002,SUM($J$12:$J118),""),IF(AND(YEAR($A118)=2002,YEAR($A119)=2003),SUM($J$12:$J118,$J119*(O$8-$A118)/($A119-$A118)),"")))</f>
        <v/>
      </c>
      <c r="AA117" s="67" t="str">
        <f>IF($A118="","",IF($A119="",IF(YEAR($A118)=2003,SUM($J$12:$J118),""),IF(AND(YEAR($A118)=2003,YEAR($A119)=2004),SUM($J$12:$J118,$J119*(P$8-$A118)/($A119-$A118)),"")))</f>
        <v/>
      </c>
      <c r="AB117" s="67" t="str">
        <f>IF($A118="","",IF($A119="",IF(YEAR($A118)=2004,SUM($J$12:$J118),""),IF(AND(YEAR($A118)=2004,YEAR($A119)=2005),SUM($J$12:$J118,$J119*(Q$8-$A118)/($A119-$A118)),"")))</f>
        <v/>
      </c>
      <c r="AC117" s="67" t="str">
        <f>IF($A118="","",IF($A119="",IF(YEAR($A118)=2005,SUM($J$12:$J118),""),IF(AND(YEAR($A118)=2005,YEAR($A119)=2006),SUM($J$12:$J118,$J119*(R$8-$A118)/($A119-$A118)),"")))</f>
        <v/>
      </c>
      <c r="AD117" s="67" t="str">
        <f>IF($A118="","",IF($A119="",IF(YEAR($A118)=2006,SUM($J$12:$J118),""),IF(AND(YEAR($A118)=2006,YEAR($A119)=2007),SUM($J$12:$J118,$J119*(S$8-$A118)/($A119-$A118)),"")))</f>
        <v/>
      </c>
      <c r="AE117" s="67" t="str">
        <f>IF($A118="","",IF($A119="",IF(YEAR($A118)=2007,SUM($J$12:$J118),""),IF(AND(YEAR($A118)=2007,YEAR($A119)=2008),SUM($J$12:$J118,$J119*(T$8-$A118)/($A119-$A118)),"")))</f>
        <v/>
      </c>
      <c r="AF117" s="67" t="str">
        <f>IF($A118="","",IF($A119="",IF(YEAR($A118)=2008,SUM($J$12:$J118),""),IF(AND(YEAR($A118)=2008,YEAR($A119)=2009),SUM($J$12:$J118,$J119*(U$8-$A118)/($A119-$A118)),"")))</f>
        <v/>
      </c>
      <c r="AG117" s="67" t="str">
        <f>IF($A118="","",IF($A119="",IF(YEAR($A118)=2009,SUM($J$12:$J118),""),IF(AND(YEAR($A118)=2009,YEAR($A119)=2010),SUM($J$12:$J118,$J119*(V$8-$A118)/($A119-$A118)),"")))</f>
        <v/>
      </c>
      <c r="AH117" s="67" t="str">
        <f>IF($A118="","",IF($A119="",IF(YEAR($A118)=2010,SUM($J$12:$J118),""),IF(AND(YEAR($A118)=2010,YEAR($A119)=2011),SUM($J$12:$J118,$J119*(W$8-$A118)/($A119-$A118)),"")))</f>
        <v/>
      </c>
      <c r="AI117" s="67" t="str">
        <f>IF($A118="","",IF($A119="",IF(YEAR($A118)=2011,SUM($J$12:$J118),""),IF(AND(YEAR($A118)=2011,YEAR($A119)=2012),SUM($J$12:$J118,$J119*(X$8-$A118)/($A119-$A118)),"")))</f>
        <v/>
      </c>
      <c r="AJ117" s="67" t="str">
        <f>IF($A118="","",IF($A119="",IF(YEAR($A118)=2012,SUM($J$12:$J118),""),IF(AND(YEAR($A118)=2012,YEAR($A119)=2013),SUM($J$12:$J118,$J119*(Y$8-$A118)/($A119-$A118)),"")))</f>
        <v/>
      </c>
    </row>
    <row r="118" spans="1:36" x14ac:dyDescent="0.2">
      <c r="A118" s="309" t="str">
        <f t="shared" si="3"/>
        <v/>
      </c>
      <c r="B118" s="168" t="str">
        <f>IF($E$5*$E$7&lt;106," ",106)</f>
        <v xml:space="preserve"> </v>
      </c>
      <c r="C118" s="201" t="str">
        <f>IF(AND(B116=" ",B117=" ",B118=" ")," ",IF(B117=" ",SUM(C$13:C116),IF(B118=" "," ",D118+E118)))</f>
        <v xml:space="preserve"> </v>
      </c>
      <c r="D118" s="201" t="str">
        <f>IF(AND(B116=" ",B117=" ",B118=" ")," ",IF(B117=" ",SUM(D$13:D116),IF(B118=" "," ",ROUND(F117*E$6/E$7,2))))</f>
        <v xml:space="preserve"> </v>
      </c>
      <c r="E118" s="201" t="str">
        <f>IF(AND(B116=" ",B117=" ",B118=" ")," ",IF(B117=" ",SUM(E$13:E116),IF(B118=" "," ",E$8)))</f>
        <v xml:space="preserve"> </v>
      </c>
      <c r="F118" s="201" t="str">
        <f>IF(AND(B116=" ",B117=" ",B118=" ")," ",IF(B117=" ",SUM(F$12:F115),IF(B118=" "," ",F117-E118)))</f>
        <v xml:space="preserve"> </v>
      </c>
      <c r="G118" s="201" t="str">
        <f>IF(AND(B116=" ",B117=" ",B118=" ")," ",IF(B117=" ",SUM(G$12:G116),IF(B119=" ",IF(E$5*E$7=B118,C118-C$7+C$8+G$10," "),C118)))</f>
        <v xml:space="preserve"> </v>
      </c>
      <c r="H118" s="204" t="str">
        <f>IF(AND(B116=" ",B117=" ",B118=" ")," ",IF(B117=" ",SUM(H$13:H116)*E$7,IF(B118=" "," ",IF(B119=" ",IF(E$5*E$7=B118,IRR(G$12:G118,0.01)," ")," "))))</f>
        <v xml:space="preserve"> </v>
      </c>
      <c r="I118" s="202" t="str">
        <f t="shared" si="4"/>
        <v/>
      </c>
      <c r="J118" s="202" t="str">
        <f t="shared" si="5"/>
        <v/>
      </c>
      <c r="K118" s="55"/>
      <c r="L118" s="56"/>
      <c r="O118" s="67"/>
      <c r="P118" s="67" t="str">
        <f>IF($A119="","",IF($A120="",IF(YEAR($A119)=2003,SUM($D$12:$D119),""),IF(AND(YEAR($A119)=2003,YEAR($A120)=2004),SUM($D$12:$D119,$D120*(P$8-$A119)/($A120-$A119)),"")))</f>
        <v/>
      </c>
      <c r="Q118" s="67" t="str">
        <f>IF(A119="","",IF(A120="",IF(YEAR(A119)=2004,SUM(D$12:D119),""),IF(AND(YEAR(A119)=2004,YEAR(A120)=2005),SUM(D$12:D119,D120*(Q$8-A119)/(A120-A119)),"")))</f>
        <v/>
      </c>
      <c r="R118" s="67" t="str">
        <f>IF(A119="","",IF(A120="",IF(YEAR(A119)=2005,SUM(D$12:D119),""),IF(AND(YEAR(A119)=2005,YEAR(A120)=2006),SUM(D$12:D119,D120*(R$8-A119)/(A120-A119)),"")))</f>
        <v/>
      </c>
      <c r="S118" s="67" t="str">
        <f>IF(A119="","",IF(A120="",IF(YEAR(A119)=2006,SUM(D$12:D119),""),IF(AND(YEAR(A119)=2006,YEAR(A120)=2007),SUM(D$12:D119,D120*(S$8-A119)/(A120-A119)),"")))</f>
        <v/>
      </c>
      <c r="T118" s="67" t="str">
        <f>IF(A119="","",IF(A120="",IF(YEAR(A119)=2007,SUM(D$12:D119),""),IF(AND(YEAR(A119)=2007,YEAR(A120)=2008),SUM(D$12:D119,D120*(T$8-A119)/(A120-A119)),"")))</f>
        <v/>
      </c>
      <c r="U118" s="67" t="str">
        <f>IF(A119="","",IF(A120="",IF(YEAR(A119)=2008,SUM(D$12:D119),""),IF(AND(YEAR(A119)=2008,YEAR(A120)=2009),SUM(D$12:D119,D120*(U$8-A119)/(A120-A119)),"")))</f>
        <v/>
      </c>
      <c r="V118" s="67" t="str">
        <f>IF(A119="","",IF(A120="",IF(YEAR(A119)=2009,SUM(D$12:D119),""),IF(AND(YEAR(A119)=2009,YEAR(A120)=2010),SUM(D$12:D119,D120*(V$8-A119)/(A120-A119)),"")))</f>
        <v/>
      </c>
      <c r="W118" s="67" t="str">
        <f>IF(A119="","",IF(A120="",IF(YEAR(A119)=2010,SUM(D$12:D119),""),IF(AND(YEAR(A119)=2010,YEAR(A120)=2011),SUM(D$12:D119,D120*(W$8-A119)/(A120-A119)),"")))</f>
        <v/>
      </c>
      <c r="X118" s="67" t="str">
        <f>IF(A119="","",IF(A120="",IF(YEAR(A119)=2011,SUM(D$12:D119),""),IF(AND(YEAR(A119)=2011,YEAR(A120)=2012),SUM(D$12:D119,D120*(X$8-A119)/(A120-A119)),"")))</f>
        <v/>
      </c>
      <c r="Y118" s="72" t="str">
        <f>IF(A119="","",IF(A120="",IF(YEAR(A119)=2012,SUM(D$12:D119),""),IF(AND(YEAR(A119)=2012,YEAR(A120)=2013),SUM(D$12:D119,D120*(Y$8-A119)/(A120-A119)),"")))</f>
        <v/>
      </c>
      <c r="Z118" s="67" t="str">
        <f>IF($A119="","",IF($A120="",IF(YEAR($A119)=2002,SUM($J$12:$J119),""),IF(AND(YEAR($A119)=2002,YEAR($A120)=2003),SUM($J$12:$J119,$J120*(O$8-$A119)/($A120-$A119)),"")))</f>
        <v/>
      </c>
      <c r="AA118" s="67" t="str">
        <f>IF($A119="","",IF($A120="",IF(YEAR($A119)=2003,SUM($J$12:$J119),""),IF(AND(YEAR($A119)=2003,YEAR($A120)=2004),SUM($J$12:$J119,$J120*(P$8-$A119)/($A120-$A119)),"")))</f>
        <v/>
      </c>
      <c r="AB118" s="67" t="str">
        <f>IF($A119="","",IF($A120="",IF(YEAR($A119)=2004,SUM($J$12:$J119),""),IF(AND(YEAR($A119)=2004,YEAR($A120)=2005),SUM($J$12:$J119,$J120*(Q$8-$A119)/($A120-$A119)),"")))</f>
        <v/>
      </c>
      <c r="AC118" s="67" t="str">
        <f>IF($A119="","",IF($A120="",IF(YEAR($A119)=2005,SUM($J$12:$J119),""),IF(AND(YEAR($A119)=2005,YEAR($A120)=2006),SUM($J$12:$J119,$J120*(R$8-$A119)/($A120-$A119)),"")))</f>
        <v/>
      </c>
      <c r="AD118" s="67" t="str">
        <f>IF($A119="","",IF($A120="",IF(YEAR($A119)=2006,SUM($J$12:$J119),""),IF(AND(YEAR($A119)=2006,YEAR($A120)=2007),SUM($J$12:$J119,$J120*(S$8-$A119)/($A120-$A119)),"")))</f>
        <v/>
      </c>
      <c r="AE118" s="67" t="str">
        <f>IF($A119="","",IF($A120="",IF(YEAR($A119)=2007,SUM($J$12:$J119),""),IF(AND(YEAR($A119)=2007,YEAR($A120)=2008),SUM($J$12:$J119,$J120*(T$8-$A119)/($A120-$A119)),"")))</f>
        <v/>
      </c>
      <c r="AF118" s="67" t="str">
        <f>IF($A119="","",IF($A120="",IF(YEAR($A119)=2008,SUM($J$12:$J119),""),IF(AND(YEAR($A119)=2008,YEAR($A120)=2009),SUM($J$12:$J119,$J120*(U$8-$A119)/($A120-$A119)),"")))</f>
        <v/>
      </c>
      <c r="AG118" s="67" t="str">
        <f>IF($A119="","",IF($A120="",IF(YEAR($A119)=2009,SUM($J$12:$J119),""),IF(AND(YEAR($A119)=2009,YEAR($A120)=2010),SUM($J$12:$J119,$J120*(V$8-$A119)/($A120-$A119)),"")))</f>
        <v/>
      </c>
      <c r="AH118" s="67" t="str">
        <f>IF($A119="","",IF($A120="",IF(YEAR($A119)=2010,SUM($J$12:$J119),""),IF(AND(YEAR($A119)=2010,YEAR($A120)=2011),SUM($J$12:$J119,$J120*(W$8-$A119)/($A120-$A119)),"")))</f>
        <v/>
      </c>
      <c r="AI118" s="67" t="str">
        <f>IF($A119="","",IF($A120="",IF(YEAR($A119)=2011,SUM($J$12:$J119),""),IF(AND(YEAR($A119)=2011,YEAR($A120)=2012),SUM($J$12:$J119,$J120*(X$8-$A119)/($A120-$A119)),"")))</f>
        <v/>
      </c>
      <c r="AJ118" s="67" t="str">
        <f>IF($A119="","",IF($A120="",IF(YEAR($A119)=2012,SUM($J$12:$J119),""),IF(AND(YEAR($A119)=2012,YEAR($A120)=2013),SUM($J$12:$J119,$J120*(Y$8-$A119)/($A120-$A119)),"")))</f>
        <v/>
      </c>
    </row>
    <row r="119" spans="1:36" x14ac:dyDescent="0.2">
      <c r="A119" s="309" t="str">
        <f t="shared" si="3"/>
        <v/>
      </c>
      <c r="B119" s="168" t="str">
        <f>IF($E$5*$E$7&lt;107," ",107)</f>
        <v xml:space="preserve"> </v>
      </c>
      <c r="C119" s="201" t="str">
        <f>IF(AND(B117=" ",B118=" ",B119=" ")," ",IF(B118=" ",SUM(C$13:C117),IF(B119=" "," ",D119+E119)))</f>
        <v xml:space="preserve"> </v>
      </c>
      <c r="D119" s="201" t="str">
        <f>IF(AND(B117=" ",B118=" ",B119=" ")," ",IF(B118=" ",SUM(D$13:D117),IF(B119=" "," ",ROUND(F118*E$6/E$7,2))))</f>
        <v xml:space="preserve"> </v>
      </c>
      <c r="E119" s="201" t="str">
        <f>IF(AND(B117=" ",B118=" ",B119=" ")," ",IF(B118=" ",SUM(E$13:E117),IF(B119=" "," ",E$8)))</f>
        <v xml:space="preserve"> </v>
      </c>
      <c r="F119" s="201" t="str">
        <f>IF(AND(B117=" ",B118=" ",B119=" ")," ",IF(B118=" ",SUM(F$12:F116),IF(B119=" "," ",F118-E119)))</f>
        <v xml:space="preserve"> </v>
      </c>
      <c r="G119" s="201" t="str">
        <f>IF(AND(B117=" ",B118=" ",B119=" ")," ",IF(B118=" ",SUM(G$12:G117),IF(B120=" ",IF(E$5*E$7=B119,C119-C$7+C$8+G$10," "),C119)))</f>
        <v xml:space="preserve"> </v>
      </c>
      <c r="H119" s="204" t="str">
        <f>IF(AND(B117=" ",B118=" ",B119=" ")," ",IF(B118=" ",SUM(H$13:H117)*E$7,IF(B119=" "," ",IF(B120=" ",IF(E$5*E$7=B119,IRR(G$12:G119,0.01)," ")," "))))</f>
        <v xml:space="preserve"> </v>
      </c>
      <c r="I119" s="202" t="str">
        <f t="shared" si="4"/>
        <v/>
      </c>
      <c r="J119" s="202" t="str">
        <f t="shared" si="5"/>
        <v/>
      </c>
      <c r="K119" s="55"/>
      <c r="L119" s="56"/>
      <c r="O119" s="67"/>
      <c r="P119" s="67" t="str">
        <f>IF($A120="","",IF($A121="",IF(YEAR($A120)=2003,SUM($D$12:$D120),""),IF(AND(YEAR($A120)=2003,YEAR($A121)=2004),SUM($D$12:$D120,$D121*(P$8-$A120)/($A121-$A120)),"")))</f>
        <v/>
      </c>
      <c r="Q119" s="67" t="str">
        <f>IF(A120="","",IF(A121="",IF(YEAR(A120)=2004,SUM(D$12:D120),""),IF(AND(YEAR(A120)=2004,YEAR(A121)=2005),SUM(D$12:D120,D121*(Q$8-A120)/(A121-A120)),"")))</f>
        <v/>
      </c>
      <c r="R119" s="67" t="str">
        <f>IF(A120="","",IF(A121="",IF(YEAR(A120)=2005,SUM(D$12:D120),""),IF(AND(YEAR(A120)=2005,YEAR(A121)=2006),SUM(D$12:D120,D121*(R$8-A120)/(A121-A120)),"")))</f>
        <v/>
      </c>
      <c r="S119" s="67" t="str">
        <f>IF(A120="","",IF(A121="",IF(YEAR(A120)=2006,SUM(D$12:D120),""),IF(AND(YEAR(A120)=2006,YEAR(A121)=2007),SUM(D$12:D120,D121*(S$8-A120)/(A121-A120)),"")))</f>
        <v/>
      </c>
      <c r="T119" s="67" t="str">
        <f>IF(A120="","",IF(A121="",IF(YEAR(A120)=2007,SUM(D$12:D120),""),IF(AND(YEAR(A120)=2007,YEAR(A121)=2008),SUM(D$12:D120,D121*(T$8-A120)/(A121-A120)),"")))</f>
        <v/>
      </c>
      <c r="U119" s="67" t="str">
        <f>IF(A120="","",IF(A121="",IF(YEAR(A120)=2008,SUM(D$12:D120),""),IF(AND(YEAR(A120)=2008,YEAR(A121)=2009),SUM(D$12:D120,D121*(U$8-A120)/(A121-A120)),"")))</f>
        <v/>
      </c>
      <c r="V119" s="67" t="str">
        <f>IF(A120="","",IF(A121="",IF(YEAR(A120)=2009,SUM(D$12:D120),""),IF(AND(YEAR(A120)=2009,YEAR(A121)=2010),SUM(D$12:D120,D121*(V$8-A120)/(A121-A120)),"")))</f>
        <v/>
      </c>
      <c r="W119" s="67" t="str">
        <f>IF(A120="","",IF(A121="",IF(YEAR(A120)=2010,SUM(D$12:D120),""),IF(AND(YEAR(A120)=2010,YEAR(A121)=2011),SUM(D$12:D120,D121*(W$8-A120)/(A121-A120)),"")))</f>
        <v/>
      </c>
      <c r="X119" s="67" t="str">
        <f>IF(A120="","",IF(A121="",IF(YEAR(A120)=2011,SUM(D$12:D120),""),IF(AND(YEAR(A120)=2011,YEAR(A121)=2012),SUM(D$12:D120,D121*(X$8-A120)/(A121-A120)),"")))</f>
        <v/>
      </c>
      <c r="Y119" s="72" t="str">
        <f>IF(A120="","",IF(A121="",IF(YEAR(A120)=2012,SUM(D$12:D120),""),IF(AND(YEAR(A120)=2012,YEAR(A121)=2013),SUM(D$12:D120,D121*(Y$8-A120)/(A121-A120)),"")))</f>
        <v/>
      </c>
      <c r="Z119" s="67" t="str">
        <f>IF($A120="","",IF($A121="",IF(YEAR($A120)=2002,SUM($J$12:$J120),""),IF(AND(YEAR($A120)=2002,YEAR($A121)=2003),SUM($J$12:$J120,$J121*(O$8-$A120)/($A121-$A120)),"")))</f>
        <v/>
      </c>
      <c r="AA119" s="67" t="str">
        <f>IF($A120="","",IF($A121="",IF(YEAR($A120)=2003,SUM($J$12:$J120),""),IF(AND(YEAR($A120)=2003,YEAR($A121)=2004),SUM($J$12:$J120,$J121*(P$8-$A120)/($A121-$A120)),"")))</f>
        <v/>
      </c>
      <c r="AB119" s="67" t="str">
        <f>IF($A120="","",IF($A121="",IF(YEAR($A120)=2004,SUM($J$12:$J120),""),IF(AND(YEAR($A120)=2004,YEAR($A121)=2005),SUM($J$12:$J120,$J121*(Q$8-$A120)/($A121-$A120)),"")))</f>
        <v/>
      </c>
      <c r="AC119" s="67" t="str">
        <f>IF($A120="","",IF($A121="",IF(YEAR($A120)=2005,SUM($J$12:$J120),""),IF(AND(YEAR($A120)=2005,YEAR($A121)=2006),SUM($J$12:$J120,$J121*(R$8-$A120)/($A121-$A120)),"")))</f>
        <v/>
      </c>
      <c r="AD119" s="67" t="str">
        <f>IF($A120="","",IF($A121="",IF(YEAR($A120)=2006,SUM($J$12:$J120),""),IF(AND(YEAR($A120)=2006,YEAR($A121)=2007),SUM($J$12:$J120,$J121*(S$8-$A120)/($A121-$A120)),"")))</f>
        <v/>
      </c>
      <c r="AE119" s="67" t="str">
        <f>IF($A120="","",IF($A121="",IF(YEAR($A120)=2007,SUM($J$12:$J120),""),IF(AND(YEAR($A120)=2007,YEAR($A121)=2008),SUM($J$12:$J120,$J121*(T$8-$A120)/($A121-$A120)),"")))</f>
        <v/>
      </c>
      <c r="AF119" s="67" t="str">
        <f>IF($A120="","",IF($A121="",IF(YEAR($A120)=2008,SUM($J$12:$J120),""),IF(AND(YEAR($A120)=2008,YEAR($A121)=2009),SUM($J$12:$J120,$J121*(U$8-$A120)/($A121-$A120)),"")))</f>
        <v/>
      </c>
      <c r="AG119" s="67" t="str">
        <f>IF($A120="","",IF($A121="",IF(YEAR($A120)=2009,SUM($J$12:$J120),""),IF(AND(YEAR($A120)=2009,YEAR($A121)=2010),SUM($J$12:$J120,$J121*(V$8-$A120)/($A121-$A120)),"")))</f>
        <v/>
      </c>
      <c r="AH119" s="67" t="str">
        <f>IF($A120="","",IF($A121="",IF(YEAR($A120)=2010,SUM($J$12:$J120),""),IF(AND(YEAR($A120)=2010,YEAR($A121)=2011),SUM($J$12:$J120,$J121*(W$8-$A120)/($A121-$A120)),"")))</f>
        <v/>
      </c>
      <c r="AI119" s="67" t="str">
        <f>IF($A120="","",IF($A121="",IF(YEAR($A120)=2011,SUM($J$12:$J120),""),IF(AND(YEAR($A120)=2011,YEAR($A121)=2012),SUM($J$12:$J120,$J121*(X$8-$A120)/($A121-$A120)),"")))</f>
        <v/>
      </c>
      <c r="AJ119" s="67" t="str">
        <f>IF($A120="","",IF($A121="",IF(YEAR($A120)=2012,SUM($J$12:$J120),""),IF(AND(YEAR($A120)=2012,YEAR($A121)=2013),SUM($J$12:$J120,$J121*(Y$8-$A120)/($A121-$A120)),"")))</f>
        <v/>
      </c>
    </row>
    <row r="120" spans="1:36" x14ac:dyDescent="0.2">
      <c r="A120" s="309" t="str">
        <f t="shared" si="3"/>
        <v/>
      </c>
      <c r="B120" s="168" t="str">
        <f>IF($E$5*$E$7&lt;108," ",108)</f>
        <v xml:space="preserve"> </v>
      </c>
      <c r="C120" s="201" t="str">
        <f>IF(AND(B118=" ",B119=" ",B120=" ")," ",IF(B119=" ",SUM(C$13:C118),IF(B120=" "," ",D120+E120)))</f>
        <v xml:space="preserve"> </v>
      </c>
      <c r="D120" s="201" t="str">
        <f>IF(AND(B118=" ",B119=" ",B120=" ")," ",IF(B119=" ",SUM(D$13:D118),IF(B120=" "," ",ROUND(F119*E$6/E$7,2))))</f>
        <v xml:space="preserve"> </v>
      </c>
      <c r="E120" s="201" t="str">
        <f>IF(AND(B118=" ",B119=" ",B120=" ")," ",IF(B119=" ",SUM(E$13:E118),IF(B120=" "," ",E$8)))</f>
        <v xml:space="preserve"> </v>
      </c>
      <c r="F120" s="201" t="str">
        <f>IF(AND(B118=" ",B119=" ",B120=" ")," ",IF(B119=" ",SUM(F$12:F117),IF(B120=" "," ",F119-E120)))</f>
        <v xml:space="preserve"> </v>
      </c>
      <c r="G120" s="201" t="str">
        <f>IF(AND(B118=" ",B119=" ",B120=" ")," ",IF(B119=" ",SUM(G$12:G118),IF(B121=" ",IF(E$5*E$7=B120,C120-C$7+C$8+G$10," "),C120)))</f>
        <v xml:space="preserve"> </v>
      </c>
      <c r="H120" s="204" t="str">
        <f>IF(AND(B118=" ",B119=" ",B120=" ")," ",IF(B119=" ",SUM(H$13:H118)*E$7,IF(B120=" "," ",IF(B121=" ",IF(E$5*E$7=B120,IRR(G$12:G120,0.01)," ")," "))))</f>
        <v xml:space="preserve"> </v>
      </c>
      <c r="I120" s="202" t="str">
        <f t="shared" si="4"/>
        <v/>
      </c>
      <c r="J120" s="202" t="str">
        <f t="shared" si="5"/>
        <v/>
      </c>
      <c r="K120" s="55"/>
      <c r="L120" s="56"/>
      <c r="O120" s="67"/>
      <c r="P120" s="67" t="str">
        <f>IF($A121="","",IF($A122="",IF(YEAR($A121)=2003,SUM($D$12:$D121),""),IF(AND(YEAR($A121)=2003,YEAR($A122)=2004),SUM($D$12:$D121,$D122*(P$8-$A121)/($A122-$A121)),"")))</f>
        <v/>
      </c>
      <c r="Q120" s="67" t="str">
        <f>IF(A121="","",IF(A122="",IF(YEAR(A121)=2004,SUM(D$12:D121),""),IF(AND(YEAR(A121)=2004,YEAR(A122)=2005),SUM(D$12:D121,D122*(Q$8-A121)/(A122-A121)),"")))</f>
        <v/>
      </c>
      <c r="R120" s="67" t="str">
        <f>IF(A121="","",IF(A122="",IF(YEAR(A121)=2005,SUM(D$12:D121),""),IF(AND(YEAR(A121)=2005,YEAR(A122)=2006),SUM(D$12:D121,D122*(R$8-A121)/(A122-A121)),"")))</f>
        <v/>
      </c>
      <c r="S120" s="67" t="str">
        <f>IF(A121="","",IF(A122="",IF(YEAR(A121)=2006,SUM(D$12:D121),""),IF(AND(YEAR(A121)=2006,YEAR(A122)=2007),SUM(D$12:D121,D122*(S$8-A121)/(A122-A121)),"")))</f>
        <v/>
      </c>
      <c r="T120" s="67" t="str">
        <f>IF(A121="","",IF(A122="",IF(YEAR(A121)=2007,SUM(D$12:D121),""),IF(AND(YEAR(A121)=2007,YEAR(A122)=2008),SUM(D$12:D121,D122*(T$8-A121)/(A122-A121)),"")))</f>
        <v/>
      </c>
      <c r="U120" s="67" t="str">
        <f>IF(A121="","",IF(A122="",IF(YEAR(A121)=2008,SUM(D$12:D121),""),IF(AND(YEAR(A121)=2008,YEAR(A122)=2009),SUM(D$12:D121,D122*(U$8-A121)/(A122-A121)),"")))</f>
        <v/>
      </c>
      <c r="V120" s="67" t="str">
        <f>IF(A121="","",IF(A122="",IF(YEAR(A121)=2009,SUM(D$12:D121),""),IF(AND(YEAR(A121)=2009,YEAR(A122)=2010),SUM(D$12:D121,D122*(V$8-A121)/(A122-A121)),"")))</f>
        <v/>
      </c>
      <c r="W120" s="67" t="str">
        <f>IF(A121="","",IF(A122="",IF(YEAR(A121)=2010,SUM(D$12:D121),""),IF(AND(YEAR(A121)=2010,YEAR(A122)=2011),SUM(D$12:D121,D122*(W$8-A121)/(A122-A121)),"")))</f>
        <v/>
      </c>
      <c r="X120" s="67" t="str">
        <f>IF(A121="","",IF(A122="",IF(YEAR(A121)=2011,SUM(D$12:D121),""),IF(AND(YEAR(A121)=2011,YEAR(A122)=2012),SUM(D$12:D121,D122*(X$8-A121)/(A122-A121)),"")))</f>
        <v/>
      </c>
      <c r="Y120" s="72" t="str">
        <f>IF(A121="","",IF(A122="",IF(YEAR(A121)=2012,SUM(D$12:D121),""),IF(AND(YEAR(A121)=2012,YEAR(A122)=2013),SUM(D$12:D121,D122*(Y$8-A121)/(A122-A121)),"")))</f>
        <v/>
      </c>
      <c r="Z120" s="67" t="str">
        <f>IF($A121="","",IF($A122="",IF(YEAR($A121)=2002,SUM($J$12:$J121),""),IF(AND(YEAR($A121)=2002,YEAR($A122)=2003),SUM($J$12:$J121,$J122*(O$8-$A121)/($A122-$A121)),"")))</f>
        <v/>
      </c>
      <c r="AA120" s="67" t="str">
        <f>IF($A121="","",IF($A122="",IF(YEAR($A121)=2003,SUM($J$12:$J121),""),IF(AND(YEAR($A121)=2003,YEAR($A122)=2004),SUM($J$12:$J121,$J122*(P$8-$A121)/($A122-$A121)),"")))</f>
        <v/>
      </c>
      <c r="AB120" s="67" t="str">
        <f>IF($A121="","",IF($A122="",IF(YEAR($A121)=2004,SUM($J$12:$J121),""),IF(AND(YEAR($A121)=2004,YEAR($A122)=2005),SUM($J$12:$J121,$J122*(Q$8-$A121)/($A122-$A121)),"")))</f>
        <v/>
      </c>
      <c r="AC120" s="67" t="str">
        <f>IF($A121="","",IF($A122="",IF(YEAR($A121)=2005,SUM($J$12:$J121),""),IF(AND(YEAR($A121)=2005,YEAR($A122)=2006),SUM($J$12:$J121,$J122*(R$8-$A121)/($A122-$A121)),"")))</f>
        <v/>
      </c>
      <c r="AD120" s="67" t="str">
        <f>IF($A121="","",IF($A122="",IF(YEAR($A121)=2006,SUM($J$12:$J121),""),IF(AND(YEAR($A121)=2006,YEAR($A122)=2007),SUM($J$12:$J121,$J122*(S$8-$A121)/($A122-$A121)),"")))</f>
        <v/>
      </c>
      <c r="AE120" s="67" t="str">
        <f>IF($A121="","",IF($A122="",IF(YEAR($A121)=2007,SUM($J$12:$J121),""),IF(AND(YEAR($A121)=2007,YEAR($A122)=2008),SUM($J$12:$J121,$J122*(T$8-$A121)/($A122-$A121)),"")))</f>
        <v/>
      </c>
      <c r="AF120" s="67" t="str">
        <f>IF($A121="","",IF($A122="",IF(YEAR($A121)=2008,SUM($J$12:$J121),""),IF(AND(YEAR($A121)=2008,YEAR($A122)=2009),SUM($J$12:$J121,$J122*(U$8-$A121)/($A122-$A121)),"")))</f>
        <v/>
      </c>
      <c r="AG120" s="67" t="str">
        <f>IF($A121="","",IF($A122="",IF(YEAR($A121)=2009,SUM($J$12:$J121),""),IF(AND(YEAR($A121)=2009,YEAR($A122)=2010),SUM($J$12:$J121,$J122*(V$8-$A121)/($A122-$A121)),"")))</f>
        <v/>
      </c>
      <c r="AH120" s="67" t="str">
        <f>IF($A121="","",IF($A122="",IF(YEAR($A121)=2010,SUM($J$12:$J121),""),IF(AND(YEAR($A121)=2010,YEAR($A122)=2011),SUM($J$12:$J121,$J122*(W$8-$A121)/($A122-$A121)),"")))</f>
        <v/>
      </c>
      <c r="AI120" s="67" t="str">
        <f>IF($A121="","",IF($A122="",IF(YEAR($A121)=2011,SUM($J$12:$J121),""),IF(AND(YEAR($A121)=2011,YEAR($A122)=2012),SUM($J$12:$J121,$J122*(X$8-$A121)/($A122-$A121)),"")))</f>
        <v/>
      </c>
      <c r="AJ120" s="67" t="str">
        <f>IF($A121="","",IF($A122="",IF(YEAR($A121)=2012,SUM($J$12:$J121),""),IF(AND(YEAR($A121)=2012,YEAR($A122)=2013),SUM($J$12:$J121,$J122*(Y$8-$A121)/($A122-$A121)),"")))</f>
        <v/>
      </c>
    </row>
    <row r="121" spans="1:36" x14ac:dyDescent="0.2">
      <c r="A121" s="309" t="str">
        <f t="shared" si="3"/>
        <v/>
      </c>
      <c r="B121" s="168" t="str">
        <f>IF($E$5*$E$7&lt;109," ",109)</f>
        <v xml:space="preserve"> </v>
      </c>
      <c r="C121" s="201" t="str">
        <f>IF(AND(B119=" ",B120=" ",B121=" ")," ",IF(B120=" ",SUM(C$13:C119),IF(B121=" "," ",D121+E121)))</f>
        <v xml:space="preserve"> </v>
      </c>
      <c r="D121" s="201" t="str">
        <f>IF(AND(B119=" ",B120=" ",B121=" ")," ",IF(B120=" ",SUM(D$13:D119),IF(B121=" "," ",ROUND(F120*E$6/E$7,2))))</f>
        <v xml:space="preserve"> </v>
      </c>
      <c r="E121" s="201" t="str">
        <f>IF(AND(B119=" ",B120=" ",B121=" ")," ",IF(B120=" ",SUM(E$13:E119),IF(B121=" "," ",E$8)))</f>
        <v xml:space="preserve"> </v>
      </c>
      <c r="F121" s="201" t="str">
        <f>IF(AND(B119=" ",B120=" ",B121=" ")," ",IF(B120=" ",SUM(F$12:F118),IF(B121=" "," ",F120-E121)))</f>
        <v xml:space="preserve"> </v>
      </c>
      <c r="G121" s="201" t="str">
        <f>IF(AND(B119=" ",B120=" ",B121=" ")," ",IF(B120=" ",SUM(G$12:G119),IF(B122=" ",IF(E$5*E$7=B121,C121-C$7+C$8+G$10," "),C121)))</f>
        <v xml:space="preserve"> </v>
      </c>
      <c r="H121" s="204" t="str">
        <f>IF(AND(B119=" ",B120=" ",B121=" ")," ",IF(B120=" ",SUM(H$13:H119)*E$7,IF(B121=" "," ",IF(B122=" ",IF(E$5*E$7=B121,IRR(G$12:G121,0.01)," ")," "))))</f>
        <v xml:space="preserve"> </v>
      </c>
      <c r="I121" s="202" t="str">
        <f t="shared" si="4"/>
        <v/>
      </c>
      <c r="J121" s="202" t="str">
        <f t="shared" si="5"/>
        <v/>
      </c>
      <c r="K121" s="55"/>
      <c r="L121" s="56"/>
      <c r="O121" s="67"/>
      <c r="P121" s="67" t="str">
        <f>IF($A122="","",IF($A123="",IF(YEAR($A122)=2003,SUM($D$12:$D122),""),IF(AND(YEAR($A122)=2003,YEAR($A123)=2004),SUM($D$12:$D122,$D123*(P$8-$A122)/($A123-$A122)),"")))</f>
        <v/>
      </c>
      <c r="Q121" s="67" t="str">
        <f>IF(A122="","",IF(A123="",IF(YEAR(A122)=2004,SUM(D$12:D122),""),IF(AND(YEAR(A122)=2004,YEAR(A123)=2005),SUM(D$12:D122,D123*(Q$8-A122)/(A123-A122)),"")))</f>
        <v/>
      </c>
      <c r="R121" s="67" t="str">
        <f>IF(A122="","",IF(A123="",IF(YEAR(A122)=2005,SUM(D$12:D122),""),IF(AND(YEAR(A122)=2005,YEAR(A123)=2006),SUM(D$12:D122,D123*(R$8-A122)/(A123-A122)),"")))</f>
        <v/>
      </c>
      <c r="S121" s="67" t="str">
        <f>IF(A122="","",IF(A123="",IF(YEAR(A122)=2006,SUM(D$12:D122),""),IF(AND(YEAR(A122)=2006,YEAR(A123)=2007),SUM(D$12:D122,D123*(S$8-A122)/(A123-A122)),"")))</f>
        <v/>
      </c>
      <c r="T121" s="67" t="str">
        <f>IF(A122="","",IF(A123="",IF(YEAR(A122)=2007,SUM(D$12:D122),""),IF(AND(YEAR(A122)=2007,YEAR(A123)=2008),SUM(D$12:D122,D123*(T$8-A122)/(A123-A122)),"")))</f>
        <v/>
      </c>
      <c r="U121" s="67" t="str">
        <f>IF(A122="","",IF(A123="",IF(YEAR(A122)=2008,SUM(D$12:D122),""),IF(AND(YEAR(A122)=2008,YEAR(A123)=2009),SUM(D$12:D122,D123*(U$8-A122)/(A123-A122)),"")))</f>
        <v/>
      </c>
      <c r="V121" s="67" t="str">
        <f>IF(A122="","",IF(A123="",IF(YEAR(A122)=2009,SUM(D$12:D122),""),IF(AND(YEAR(A122)=2009,YEAR(A123)=2010),SUM(D$12:D122,D123*(V$8-A122)/(A123-A122)),"")))</f>
        <v/>
      </c>
      <c r="W121" s="67" t="str">
        <f>IF(A122="","",IF(A123="",IF(YEAR(A122)=2010,SUM(D$12:D122),""),IF(AND(YEAR(A122)=2010,YEAR(A123)=2011),SUM(D$12:D122,D123*(W$8-A122)/(A123-A122)),"")))</f>
        <v/>
      </c>
      <c r="X121" s="67" t="str">
        <f>IF(A122="","",IF(A123="",IF(YEAR(A122)=2011,SUM(D$12:D122),""),IF(AND(YEAR(A122)=2011,YEAR(A123)=2012),SUM(D$12:D122,D123*(X$8-A122)/(A123-A122)),"")))</f>
        <v/>
      </c>
      <c r="Y121" s="72" t="str">
        <f>IF(A122="","",IF(A123="",IF(YEAR(A122)=2012,SUM(D$12:D122),""),IF(AND(YEAR(A122)=2012,YEAR(A123)=2013),SUM(D$12:D122,D123*(Y$8-A122)/(A123-A122)),"")))</f>
        <v/>
      </c>
      <c r="Z121" s="67" t="str">
        <f>IF($A122="","",IF($A123="",IF(YEAR($A122)=2002,SUM($J$12:$J122),""),IF(AND(YEAR($A122)=2002,YEAR($A123)=2003),SUM($J$12:$J122,$J123*(O$8-$A122)/($A123-$A122)),"")))</f>
        <v/>
      </c>
      <c r="AA121" s="67" t="str">
        <f>IF($A122="","",IF($A123="",IF(YEAR($A122)=2003,SUM($J$12:$J122),""),IF(AND(YEAR($A122)=2003,YEAR($A123)=2004),SUM($J$12:$J122,$J123*(P$8-$A122)/($A123-$A122)),"")))</f>
        <v/>
      </c>
      <c r="AB121" s="67" t="str">
        <f>IF($A122="","",IF($A123="",IF(YEAR($A122)=2004,SUM($J$12:$J122),""),IF(AND(YEAR($A122)=2004,YEAR($A123)=2005),SUM($J$12:$J122,$J123*(Q$8-$A122)/($A123-$A122)),"")))</f>
        <v/>
      </c>
      <c r="AC121" s="67" t="str">
        <f>IF($A122="","",IF($A123="",IF(YEAR($A122)=2005,SUM($J$12:$J122),""),IF(AND(YEAR($A122)=2005,YEAR($A123)=2006),SUM($J$12:$J122,$J123*(R$8-$A122)/($A123-$A122)),"")))</f>
        <v/>
      </c>
      <c r="AD121" s="67" t="str">
        <f>IF($A122="","",IF($A123="",IF(YEAR($A122)=2006,SUM($J$12:$J122),""),IF(AND(YEAR($A122)=2006,YEAR($A123)=2007),SUM($J$12:$J122,$J123*(S$8-$A122)/($A123-$A122)),"")))</f>
        <v/>
      </c>
      <c r="AE121" s="67" t="str">
        <f>IF($A122="","",IF($A123="",IF(YEAR($A122)=2007,SUM($J$12:$J122),""),IF(AND(YEAR($A122)=2007,YEAR($A123)=2008),SUM($J$12:$J122,$J123*(T$8-$A122)/($A123-$A122)),"")))</f>
        <v/>
      </c>
      <c r="AF121" s="67" t="str">
        <f>IF($A122="","",IF($A123="",IF(YEAR($A122)=2008,SUM($J$12:$J122),""),IF(AND(YEAR($A122)=2008,YEAR($A123)=2009),SUM($J$12:$J122,$J123*(U$8-$A122)/($A123-$A122)),"")))</f>
        <v/>
      </c>
      <c r="AG121" s="67" t="str">
        <f>IF($A122="","",IF($A123="",IF(YEAR($A122)=2009,SUM($J$12:$J122),""),IF(AND(YEAR($A122)=2009,YEAR($A123)=2010),SUM($J$12:$J122,$J123*(V$8-$A122)/($A123-$A122)),"")))</f>
        <v/>
      </c>
      <c r="AH121" s="67" t="str">
        <f>IF($A122="","",IF($A123="",IF(YEAR($A122)=2010,SUM($J$12:$J122),""),IF(AND(YEAR($A122)=2010,YEAR($A123)=2011),SUM($J$12:$J122,$J123*(W$8-$A122)/($A123-$A122)),"")))</f>
        <v/>
      </c>
      <c r="AI121" s="67" t="str">
        <f>IF($A122="","",IF($A123="",IF(YEAR($A122)=2011,SUM($J$12:$J122),""),IF(AND(YEAR($A122)=2011,YEAR($A123)=2012),SUM($J$12:$J122,$J123*(X$8-$A122)/($A123-$A122)),"")))</f>
        <v/>
      </c>
      <c r="AJ121" s="67" t="str">
        <f>IF($A122="","",IF($A123="",IF(YEAR($A122)=2012,SUM($J$12:$J122),""),IF(AND(YEAR($A122)=2012,YEAR($A123)=2013),SUM($J$12:$J122,$J123*(Y$8-$A122)/($A123-$A122)),"")))</f>
        <v/>
      </c>
    </row>
    <row r="122" spans="1:36" x14ac:dyDescent="0.2">
      <c r="A122" s="309" t="str">
        <f t="shared" si="3"/>
        <v/>
      </c>
      <c r="B122" s="168" t="str">
        <f>IF($E$5*$E$7&lt;110," ",110)</f>
        <v xml:space="preserve"> </v>
      </c>
      <c r="C122" s="201" t="str">
        <f>IF(AND(B120=" ",B121=" ",B122=" ")," ",IF(B121=" ",SUM(C$13:C120),IF(B122=" "," ",D122+E122)))</f>
        <v xml:space="preserve"> </v>
      </c>
      <c r="D122" s="201" t="str">
        <f>IF(AND(B120=" ",B121=" ",B122=" ")," ",IF(B121=" ",SUM(D$13:D120),IF(B122=" "," ",ROUND(F121*E$6/E$7,2))))</f>
        <v xml:space="preserve"> </v>
      </c>
      <c r="E122" s="201" t="str">
        <f>IF(AND(B120=" ",B121=" ",B122=" ")," ",IF(B121=" ",SUM(E$13:E120),IF(B122=" "," ",E$8)))</f>
        <v xml:space="preserve"> </v>
      </c>
      <c r="F122" s="201" t="str">
        <f>IF(AND(B120=" ",B121=" ",B122=" ")," ",IF(B121=" ",SUM(F$12:F119),IF(B122=" "," ",F121-E122)))</f>
        <v xml:space="preserve"> </v>
      </c>
      <c r="G122" s="201" t="str">
        <f>IF(AND(B120=" ",B121=" ",B122=" ")," ",IF(B121=" ",SUM(G$12:G120),IF(B123=" ",IF(E$5*E$7=B122,C122-C$7+C$8+G$10," "),C122)))</f>
        <v xml:space="preserve"> </v>
      </c>
      <c r="H122" s="204" t="str">
        <f>IF(AND(B120=" ",B121=" ",B122=" ")," ",IF(B121=" ",SUM(H$13:H120)*E$7,IF(B122=" "," ",IF(B123=" ",IF(E$5*E$7=B122,IRR(G$12:G122,0.01)," ")," "))))</f>
        <v xml:space="preserve"> </v>
      </c>
      <c r="I122" s="202" t="str">
        <f t="shared" si="4"/>
        <v/>
      </c>
      <c r="J122" s="202" t="str">
        <f t="shared" si="5"/>
        <v/>
      </c>
      <c r="K122" s="55"/>
      <c r="L122" s="56"/>
      <c r="O122" s="67"/>
      <c r="P122" s="67" t="str">
        <f>IF($A123="","",IF($A124="",IF(YEAR($A123)=2003,SUM($D$12:$D123),""),IF(AND(YEAR($A123)=2003,YEAR($A124)=2004),SUM($D$12:$D123,$D124*(P$8-$A123)/($A124-$A123)),"")))</f>
        <v/>
      </c>
      <c r="Q122" s="67" t="str">
        <f>IF(A123="","",IF(A124="",IF(YEAR(A123)=2004,SUM(D$12:D123),""),IF(AND(YEAR(A123)=2004,YEAR(A124)=2005),SUM(D$12:D123,D124*(Q$8-A123)/(A124-A123)),"")))</f>
        <v/>
      </c>
      <c r="R122" s="67" t="str">
        <f>IF(A123="","",IF(A124="",IF(YEAR(A123)=2005,SUM(D$12:D123),""),IF(AND(YEAR(A123)=2005,YEAR(A124)=2006),SUM(D$12:D123,D124*(R$8-A123)/(A124-A123)),"")))</f>
        <v/>
      </c>
      <c r="S122" s="67" t="str">
        <f>IF(A123="","",IF(A124="",IF(YEAR(A123)=2006,SUM(D$12:D123),""),IF(AND(YEAR(A123)=2006,YEAR(A124)=2007),SUM(D$12:D123,D124*(S$8-A123)/(A124-A123)),"")))</f>
        <v/>
      </c>
      <c r="T122" s="67" t="str">
        <f>IF(A123="","",IF(A124="",IF(YEAR(A123)=2007,SUM(D$12:D123),""),IF(AND(YEAR(A123)=2007,YEAR(A124)=2008),SUM(D$12:D123,D124*(T$8-A123)/(A124-A123)),"")))</f>
        <v/>
      </c>
      <c r="U122" s="67" t="str">
        <f>IF(A123="","",IF(A124="",IF(YEAR(A123)=2008,SUM(D$12:D123),""),IF(AND(YEAR(A123)=2008,YEAR(A124)=2009),SUM(D$12:D123,D124*(U$8-A123)/(A124-A123)),"")))</f>
        <v/>
      </c>
      <c r="V122" s="67" t="str">
        <f>IF(A123="","",IF(A124="",IF(YEAR(A123)=2009,SUM(D$12:D123),""),IF(AND(YEAR(A123)=2009,YEAR(A124)=2010),SUM(D$12:D123,D124*(V$8-A123)/(A124-A123)),"")))</f>
        <v/>
      </c>
      <c r="W122" s="67" t="str">
        <f>IF(A123="","",IF(A124="",IF(YEAR(A123)=2010,SUM(D$12:D123),""),IF(AND(YEAR(A123)=2010,YEAR(A124)=2011),SUM(D$12:D123,D124*(W$8-A123)/(A124-A123)),"")))</f>
        <v/>
      </c>
      <c r="X122" s="67" t="str">
        <f>IF(A123="","",IF(A124="",IF(YEAR(A123)=2011,SUM(D$12:D123),""),IF(AND(YEAR(A123)=2011,YEAR(A124)=2012),SUM(D$12:D123,D124*(X$8-A123)/(A124-A123)),"")))</f>
        <v/>
      </c>
      <c r="Y122" s="72" t="str">
        <f>IF(A123="","",IF(A124="",IF(YEAR(A123)=2012,SUM(D$12:D123),""),IF(AND(YEAR(A123)=2012,YEAR(A124)=2013),SUM(D$12:D123,D124*(Y$8-A123)/(A124-A123)),"")))</f>
        <v/>
      </c>
      <c r="Z122" s="67" t="str">
        <f>IF($A123="","",IF($A124="",IF(YEAR($A123)=2002,SUM($J$12:$J123),""),IF(AND(YEAR($A123)=2002,YEAR($A124)=2003),SUM($J$12:$J123,$J124*(O$8-$A123)/($A124-$A123)),"")))</f>
        <v/>
      </c>
      <c r="AA122" s="67" t="str">
        <f>IF($A123="","",IF($A124="",IF(YEAR($A123)=2003,SUM($J$12:$J123),""),IF(AND(YEAR($A123)=2003,YEAR($A124)=2004),SUM($J$12:$J123,$J124*(P$8-$A123)/($A124-$A123)),"")))</f>
        <v/>
      </c>
      <c r="AB122" s="67" t="str">
        <f>IF($A123="","",IF($A124="",IF(YEAR($A123)=2004,SUM($J$12:$J123),""),IF(AND(YEAR($A123)=2004,YEAR($A124)=2005),SUM($J$12:$J123,$J124*(Q$8-$A123)/($A124-$A123)),"")))</f>
        <v/>
      </c>
      <c r="AC122" s="67" t="str">
        <f>IF($A123="","",IF($A124="",IF(YEAR($A123)=2005,SUM($J$12:$J123),""),IF(AND(YEAR($A123)=2005,YEAR($A124)=2006),SUM($J$12:$J123,$J124*(R$8-$A123)/($A124-$A123)),"")))</f>
        <v/>
      </c>
      <c r="AD122" s="67" t="str">
        <f>IF($A123="","",IF($A124="",IF(YEAR($A123)=2006,SUM($J$12:$J123),""),IF(AND(YEAR($A123)=2006,YEAR($A124)=2007),SUM($J$12:$J123,$J124*(S$8-$A123)/($A124-$A123)),"")))</f>
        <v/>
      </c>
      <c r="AE122" s="67" t="str">
        <f>IF($A123="","",IF($A124="",IF(YEAR($A123)=2007,SUM($J$12:$J123),""),IF(AND(YEAR($A123)=2007,YEAR($A124)=2008),SUM($J$12:$J123,$J124*(T$8-$A123)/($A124-$A123)),"")))</f>
        <v/>
      </c>
      <c r="AF122" s="67" t="str">
        <f>IF($A123="","",IF($A124="",IF(YEAR($A123)=2008,SUM($J$12:$J123),""),IF(AND(YEAR($A123)=2008,YEAR($A124)=2009),SUM($J$12:$J123,$J124*(U$8-$A123)/($A124-$A123)),"")))</f>
        <v/>
      </c>
      <c r="AG122" s="67" t="str">
        <f>IF($A123="","",IF($A124="",IF(YEAR($A123)=2009,SUM($J$12:$J123),""),IF(AND(YEAR($A123)=2009,YEAR($A124)=2010),SUM($J$12:$J123,$J124*(V$8-$A123)/($A124-$A123)),"")))</f>
        <v/>
      </c>
      <c r="AH122" s="67" t="str">
        <f>IF($A123="","",IF($A124="",IF(YEAR($A123)=2010,SUM($J$12:$J123),""),IF(AND(YEAR($A123)=2010,YEAR($A124)=2011),SUM($J$12:$J123,$J124*(W$8-$A123)/($A124-$A123)),"")))</f>
        <v/>
      </c>
      <c r="AI122" s="67" t="str">
        <f>IF($A123="","",IF($A124="",IF(YEAR($A123)=2011,SUM($J$12:$J123),""),IF(AND(YEAR($A123)=2011,YEAR($A124)=2012),SUM($J$12:$J123,$J124*(X$8-$A123)/($A124-$A123)),"")))</f>
        <v/>
      </c>
      <c r="AJ122" s="67" t="str">
        <f>IF($A123="","",IF($A124="",IF(YEAR($A123)=2012,SUM($J$12:$J123),""),IF(AND(YEAR($A123)=2012,YEAR($A124)=2013),SUM($J$12:$J123,$J124*(Y$8-$A123)/($A124-$A123)),"")))</f>
        <v/>
      </c>
    </row>
    <row r="123" spans="1:36" x14ac:dyDescent="0.2">
      <c r="A123" s="309" t="str">
        <f t="shared" si="3"/>
        <v/>
      </c>
      <c r="B123" s="168" t="str">
        <f>IF($E$5*$E$7&lt;111," ",111)</f>
        <v xml:space="preserve"> </v>
      </c>
      <c r="C123" s="201" t="str">
        <f>IF(AND(B121=" ",B122=" ",B123=" ")," ",IF(B122=" ",SUM(C$13:C121),IF(B123=" "," ",D123+E123)))</f>
        <v xml:space="preserve"> </v>
      </c>
      <c r="D123" s="201" t="str">
        <f>IF(AND(B121=" ",B122=" ",B123=" ")," ",IF(B122=" ",SUM(D$13:D121),IF(B123=" "," ",ROUND(F122*E$6/E$7,2))))</f>
        <v xml:space="preserve"> </v>
      </c>
      <c r="E123" s="201" t="str">
        <f>IF(AND(B121=" ",B122=" ",B123=" ")," ",IF(B122=" ",SUM(E$13:E121),IF(B123=" "," ",E$8)))</f>
        <v xml:space="preserve"> </v>
      </c>
      <c r="F123" s="201" t="str">
        <f>IF(AND(B121=" ",B122=" ",B123=" ")," ",IF(B122=" ",SUM(F$12:F120),IF(B123=" "," ",F122-E123)))</f>
        <v xml:space="preserve"> </v>
      </c>
      <c r="G123" s="201" t="str">
        <f>IF(AND(B121=" ",B122=" ",B123=" ")," ",IF(B122=" ",SUM(G$12:G121),IF(B124=" ",IF(E$5*E$7=B123,C123-C$7+C$8+G$10," "),C123)))</f>
        <v xml:space="preserve"> </v>
      </c>
      <c r="H123" s="204" t="str">
        <f>IF(AND(B121=" ",B122=" ",B123=" ")," ",IF(B122=" ",SUM(H$13:H121)*E$7,IF(B123=" "," ",IF(B124=" ",IF(E$5*E$7=B123,IRR(G$12:G123,0.01)," ")," "))))</f>
        <v xml:space="preserve"> </v>
      </c>
      <c r="I123" s="202" t="str">
        <f t="shared" si="4"/>
        <v/>
      </c>
      <c r="J123" s="202" t="str">
        <f t="shared" si="5"/>
        <v/>
      </c>
      <c r="K123" s="55"/>
      <c r="L123" s="56"/>
      <c r="O123" s="67"/>
      <c r="P123" s="67" t="str">
        <f>IF($A124="","",IF($A125="",IF(YEAR($A124)=2003,SUM($D$12:$D124),""),IF(AND(YEAR($A124)=2003,YEAR($A125)=2004),SUM($D$12:$D124,$D125*(P$8-$A124)/($A125-$A124)),"")))</f>
        <v/>
      </c>
      <c r="Q123" s="67" t="str">
        <f>IF(A124="","",IF(A125="",IF(YEAR(A124)=2004,SUM(D$12:D124),""),IF(AND(YEAR(A124)=2004,YEAR(A125)=2005),SUM(D$12:D124,D125*(Q$8-A124)/(A125-A124)),"")))</f>
        <v/>
      </c>
      <c r="R123" s="67" t="str">
        <f>IF(A124="","",IF(A125="",IF(YEAR(A124)=2005,SUM(D$12:D124),""),IF(AND(YEAR(A124)=2005,YEAR(A125)=2006),SUM(D$12:D124,D125*(R$8-A124)/(A125-A124)),"")))</f>
        <v/>
      </c>
      <c r="S123" s="67" t="str">
        <f>IF(A124="","",IF(A125="",IF(YEAR(A124)=2006,SUM(D$12:D124),""),IF(AND(YEAR(A124)=2006,YEAR(A125)=2007),SUM(D$12:D124,D125*(S$8-A124)/(A125-A124)),"")))</f>
        <v/>
      </c>
      <c r="T123" s="67" t="str">
        <f>IF(A124="","",IF(A125="",IF(YEAR(A124)=2007,SUM(D$12:D124),""),IF(AND(YEAR(A124)=2007,YEAR(A125)=2008),SUM(D$12:D124,D125*(T$8-A124)/(A125-A124)),"")))</f>
        <v/>
      </c>
      <c r="U123" s="67" t="str">
        <f>IF(A124="","",IF(A125="",IF(YEAR(A124)=2008,SUM(D$12:D124),""),IF(AND(YEAR(A124)=2008,YEAR(A125)=2009),SUM(D$12:D124,D125*(U$8-A124)/(A125-A124)),"")))</f>
        <v/>
      </c>
      <c r="V123" s="67" t="str">
        <f>IF(A124="","",IF(A125="",IF(YEAR(A124)=2009,SUM(D$12:D124),""),IF(AND(YEAR(A124)=2009,YEAR(A125)=2010),SUM(D$12:D124,D125*(V$8-A124)/(A125-A124)),"")))</f>
        <v/>
      </c>
      <c r="W123" s="67" t="str">
        <f>IF(A124="","",IF(A125="",IF(YEAR(A124)=2010,SUM(D$12:D124),""),IF(AND(YEAR(A124)=2010,YEAR(A125)=2011),SUM(D$12:D124,D125*(W$8-A124)/(A125-A124)),"")))</f>
        <v/>
      </c>
      <c r="X123" s="67" t="str">
        <f>IF(A124="","",IF(A125="",IF(YEAR(A124)=2011,SUM(D$12:D124),""),IF(AND(YEAR(A124)=2011,YEAR(A125)=2012),SUM(D$12:D124,D125*(X$8-A124)/(A125-A124)),"")))</f>
        <v/>
      </c>
      <c r="Y123" s="72" t="str">
        <f>IF(A124="","",IF(A125="",IF(YEAR(A124)=2012,SUM(D$12:D124),""),IF(AND(YEAR(A124)=2012,YEAR(A125)=2013),SUM(D$12:D124,D125*(Y$8-A124)/(A125-A124)),"")))</f>
        <v/>
      </c>
      <c r="Z123" s="67" t="str">
        <f>IF($A124="","",IF($A125="",IF(YEAR($A124)=2002,SUM($J$12:$J124),""),IF(AND(YEAR($A124)=2002,YEAR($A125)=2003),SUM($J$12:$J124,$J125*(O$8-$A124)/($A125-$A124)),"")))</f>
        <v/>
      </c>
      <c r="AA123" s="67" t="str">
        <f>IF($A124="","",IF($A125="",IF(YEAR($A124)=2003,SUM($J$12:$J124),""),IF(AND(YEAR($A124)=2003,YEAR($A125)=2004),SUM($J$12:$J124,$J125*(P$8-$A124)/($A125-$A124)),"")))</f>
        <v/>
      </c>
      <c r="AB123" s="67" t="str">
        <f>IF($A124="","",IF($A125="",IF(YEAR($A124)=2004,SUM($J$12:$J124),""),IF(AND(YEAR($A124)=2004,YEAR($A125)=2005),SUM($J$12:$J124,$J125*(Q$8-$A124)/($A125-$A124)),"")))</f>
        <v/>
      </c>
      <c r="AC123" s="67" t="str">
        <f>IF($A124="","",IF($A125="",IF(YEAR($A124)=2005,SUM($J$12:$J124),""),IF(AND(YEAR($A124)=2005,YEAR($A125)=2006),SUM($J$12:$J124,$J125*(R$8-$A124)/($A125-$A124)),"")))</f>
        <v/>
      </c>
      <c r="AD123" s="67" t="str">
        <f>IF($A124="","",IF($A125="",IF(YEAR($A124)=2006,SUM($J$12:$J124),""),IF(AND(YEAR($A124)=2006,YEAR($A125)=2007),SUM($J$12:$J124,$J125*(S$8-$A124)/($A125-$A124)),"")))</f>
        <v/>
      </c>
      <c r="AE123" s="67" t="str">
        <f>IF($A124="","",IF($A125="",IF(YEAR($A124)=2007,SUM($J$12:$J124),""),IF(AND(YEAR($A124)=2007,YEAR($A125)=2008),SUM($J$12:$J124,$J125*(T$8-$A124)/($A125-$A124)),"")))</f>
        <v/>
      </c>
      <c r="AF123" s="67" t="str">
        <f>IF($A124="","",IF($A125="",IF(YEAR($A124)=2008,SUM($J$12:$J124),""),IF(AND(YEAR($A124)=2008,YEAR($A125)=2009),SUM($J$12:$J124,$J125*(U$8-$A124)/($A125-$A124)),"")))</f>
        <v/>
      </c>
      <c r="AG123" s="67" t="str">
        <f>IF($A124="","",IF($A125="",IF(YEAR($A124)=2009,SUM($J$12:$J124),""),IF(AND(YEAR($A124)=2009,YEAR($A125)=2010),SUM($J$12:$J124,$J125*(V$8-$A124)/($A125-$A124)),"")))</f>
        <v/>
      </c>
      <c r="AH123" s="67" t="str">
        <f>IF($A124="","",IF($A125="",IF(YEAR($A124)=2010,SUM($J$12:$J124),""),IF(AND(YEAR($A124)=2010,YEAR($A125)=2011),SUM($J$12:$J124,$J125*(W$8-$A124)/($A125-$A124)),"")))</f>
        <v/>
      </c>
      <c r="AI123" s="67" t="str">
        <f>IF($A124="","",IF($A125="",IF(YEAR($A124)=2011,SUM($J$12:$J124),""),IF(AND(YEAR($A124)=2011,YEAR($A125)=2012),SUM($J$12:$J124,$J125*(X$8-$A124)/($A125-$A124)),"")))</f>
        <v/>
      </c>
      <c r="AJ123" s="67" t="str">
        <f>IF($A124="","",IF($A125="",IF(YEAR($A124)=2012,SUM($J$12:$J124),""),IF(AND(YEAR($A124)=2012,YEAR($A125)=2013),SUM($J$12:$J124,$J125*(Y$8-$A124)/($A125-$A124)),"")))</f>
        <v/>
      </c>
    </row>
    <row r="124" spans="1:36" x14ac:dyDescent="0.2">
      <c r="A124" s="309" t="str">
        <f t="shared" si="3"/>
        <v/>
      </c>
      <c r="B124" s="168" t="str">
        <f>IF($E$5*$E$7&lt;112," ",112)</f>
        <v xml:space="preserve"> </v>
      </c>
      <c r="C124" s="201" t="str">
        <f>IF(AND(B122=" ",B123=" ",B124=" ")," ",IF(B123=" ",SUM(C$13:C122),IF(B124=" "," ",D124+E124)))</f>
        <v xml:space="preserve"> </v>
      </c>
      <c r="D124" s="201" t="str">
        <f>IF(AND(B122=" ",B123=" ",B124=" ")," ",IF(B123=" ",SUM(D$13:D122),IF(B124=" "," ",ROUND(F123*E$6/E$7,2))))</f>
        <v xml:space="preserve"> </v>
      </c>
      <c r="E124" s="201" t="str">
        <f>IF(AND(B122=" ",B123=" ",B124=" ")," ",IF(B123=" ",SUM(E$13:E122),IF(B124=" "," ",E$8)))</f>
        <v xml:space="preserve"> </v>
      </c>
      <c r="F124" s="201" t="str">
        <f>IF(AND(B122=" ",B123=" ",B124=" ")," ",IF(B123=" ",SUM(F$12:F121),IF(B124=" "," ",F123-E124)))</f>
        <v xml:space="preserve"> </v>
      </c>
      <c r="G124" s="201" t="str">
        <f>IF(AND(B122=" ",B123=" ",B124=" ")," ",IF(B123=" ",SUM(G$12:G122),IF(B125=" ",IF(E$5*E$7=B124,C124-C$7+C$8+G$10," "),C124)))</f>
        <v xml:space="preserve"> </v>
      </c>
      <c r="H124" s="204" t="str">
        <f>IF(AND(B122=" ",B123=" ",B124=" ")," ",IF(B123=" ",SUM(H$13:H122)*E$7,IF(B124=" "," ",IF(B125=" ",IF(E$5*E$7=B124,IRR(G$12:G124,0.01)," ")," "))))</f>
        <v xml:space="preserve"> </v>
      </c>
      <c r="I124" s="202" t="str">
        <f t="shared" si="4"/>
        <v/>
      </c>
      <c r="J124" s="202" t="str">
        <f t="shared" si="5"/>
        <v/>
      </c>
      <c r="K124" s="55"/>
      <c r="L124" s="56"/>
      <c r="O124" s="67"/>
      <c r="P124" s="67" t="str">
        <f>IF($A125="","",IF($A126="",IF(YEAR($A125)=2003,SUM($D$12:$D125),""),IF(AND(YEAR($A125)=2003,YEAR($A126)=2004),SUM($D$12:$D125,$D126*(P$8-$A125)/($A126-$A125)),"")))</f>
        <v/>
      </c>
      <c r="Q124" s="67" t="str">
        <f>IF(A125="","",IF(A126="",IF(YEAR(A125)=2004,SUM(D$12:D125),""),IF(AND(YEAR(A125)=2004,YEAR(A126)=2005),SUM(D$12:D125,D126*(Q$8-A125)/(A126-A125)),"")))</f>
        <v/>
      </c>
      <c r="R124" s="67" t="str">
        <f>IF(A125="","",IF(A126="",IF(YEAR(A125)=2005,SUM(D$12:D125),""),IF(AND(YEAR(A125)=2005,YEAR(A126)=2006),SUM(D$12:D125,D126*(R$8-A125)/(A126-A125)),"")))</f>
        <v/>
      </c>
      <c r="S124" s="67" t="str">
        <f>IF(A125="","",IF(A126="",IF(YEAR(A125)=2006,SUM(D$12:D125),""),IF(AND(YEAR(A125)=2006,YEAR(A126)=2007),SUM(D$12:D125,D126*(S$8-A125)/(A126-A125)),"")))</f>
        <v/>
      </c>
      <c r="T124" s="67" t="str">
        <f>IF(A125="","",IF(A126="",IF(YEAR(A125)=2007,SUM(D$12:D125),""),IF(AND(YEAR(A125)=2007,YEAR(A126)=2008),SUM(D$12:D125,D126*(T$8-A125)/(A126-A125)),"")))</f>
        <v/>
      </c>
      <c r="U124" s="67" t="str">
        <f>IF(A125="","",IF(A126="",IF(YEAR(A125)=2008,SUM(D$12:D125),""),IF(AND(YEAR(A125)=2008,YEAR(A126)=2009),SUM(D$12:D125,D126*(U$8-A125)/(A126-A125)),"")))</f>
        <v/>
      </c>
      <c r="V124" s="67" t="str">
        <f>IF(A125="","",IF(A126="",IF(YEAR(A125)=2009,SUM(D$12:D125),""),IF(AND(YEAR(A125)=2009,YEAR(A126)=2010),SUM(D$12:D125,D126*(V$8-A125)/(A126-A125)),"")))</f>
        <v/>
      </c>
      <c r="W124" s="67" t="str">
        <f>IF(A125="","",IF(A126="",IF(YEAR(A125)=2010,SUM(D$12:D125),""),IF(AND(YEAR(A125)=2010,YEAR(A126)=2011),SUM(D$12:D125,D126*(W$8-A125)/(A126-A125)),"")))</f>
        <v/>
      </c>
      <c r="X124" s="67" t="str">
        <f>IF(A125="","",IF(A126="",IF(YEAR(A125)=2011,SUM(D$12:D125),""),IF(AND(YEAR(A125)=2011,YEAR(A126)=2012),SUM(D$12:D125,D126*(X$8-A125)/(A126-A125)),"")))</f>
        <v/>
      </c>
      <c r="Y124" s="72" t="str">
        <f>IF(A125="","",IF(A126="",IF(YEAR(A125)=2012,SUM(D$12:D125),""),IF(AND(YEAR(A125)=2012,YEAR(A126)=2013),SUM(D$12:D125,D126*(Y$8-A125)/(A126-A125)),"")))</f>
        <v/>
      </c>
      <c r="Z124" s="67" t="str">
        <f>IF($A125="","",IF($A126="",IF(YEAR($A125)=2002,SUM($J$12:$J125),""),IF(AND(YEAR($A125)=2002,YEAR($A126)=2003),SUM($J$12:$J125,$J126*(O$8-$A125)/($A126-$A125)),"")))</f>
        <v/>
      </c>
      <c r="AA124" s="67" t="str">
        <f>IF($A125="","",IF($A126="",IF(YEAR($A125)=2003,SUM($J$12:$J125),""),IF(AND(YEAR($A125)=2003,YEAR($A126)=2004),SUM($J$12:$J125,$J126*(P$8-$A125)/($A126-$A125)),"")))</f>
        <v/>
      </c>
      <c r="AB124" s="67" t="str">
        <f>IF($A125="","",IF($A126="",IF(YEAR($A125)=2004,SUM($J$12:$J125),""),IF(AND(YEAR($A125)=2004,YEAR($A126)=2005),SUM($J$12:$J125,$J126*(Q$8-$A125)/($A126-$A125)),"")))</f>
        <v/>
      </c>
      <c r="AC124" s="67" t="str">
        <f>IF($A125="","",IF($A126="",IF(YEAR($A125)=2005,SUM($J$12:$J125),""),IF(AND(YEAR($A125)=2005,YEAR($A126)=2006),SUM($J$12:$J125,$J126*(R$8-$A125)/($A126-$A125)),"")))</f>
        <v/>
      </c>
      <c r="AD124" s="67" t="str">
        <f>IF($A125="","",IF($A126="",IF(YEAR($A125)=2006,SUM($J$12:$J125),""),IF(AND(YEAR($A125)=2006,YEAR($A126)=2007),SUM($J$12:$J125,$J126*(S$8-$A125)/($A126-$A125)),"")))</f>
        <v/>
      </c>
      <c r="AE124" s="67" t="str">
        <f>IF($A125="","",IF($A126="",IF(YEAR($A125)=2007,SUM($J$12:$J125),""),IF(AND(YEAR($A125)=2007,YEAR($A126)=2008),SUM($J$12:$J125,$J126*(T$8-$A125)/($A126-$A125)),"")))</f>
        <v/>
      </c>
      <c r="AF124" s="67" t="str">
        <f>IF($A125="","",IF($A126="",IF(YEAR($A125)=2008,SUM($J$12:$J125),""),IF(AND(YEAR($A125)=2008,YEAR($A126)=2009),SUM($J$12:$J125,$J126*(U$8-$A125)/($A126-$A125)),"")))</f>
        <v/>
      </c>
      <c r="AG124" s="67" t="str">
        <f>IF($A125="","",IF($A126="",IF(YEAR($A125)=2009,SUM($J$12:$J125),""),IF(AND(YEAR($A125)=2009,YEAR($A126)=2010),SUM($J$12:$J125,$J126*(V$8-$A125)/($A126-$A125)),"")))</f>
        <v/>
      </c>
      <c r="AH124" s="67" t="str">
        <f>IF($A125="","",IF($A126="",IF(YEAR($A125)=2010,SUM($J$12:$J125),""),IF(AND(YEAR($A125)=2010,YEAR($A126)=2011),SUM($J$12:$J125,$J126*(W$8-$A125)/($A126-$A125)),"")))</f>
        <v/>
      </c>
      <c r="AI124" s="67" t="str">
        <f>IF($A125="","",IF($A126="",IF(YEAR($A125)=2011,SUM($J$12:$J125),""),IF(AND(YEAR($A125)=2011,YEAR($A126)=2012),SUM($J$12:$J125,$J126*(X$8-$A125)/($A126-$A125)),"")))</f>
        <v/>
      </c>
      <c r="AJ124" s="67" t="str">
        <f>IF($A125="","",IF($A126="",IF(YEAR($A125)=2012,SUM($J$12:$J125),""),IF(AND(YEAR($A125)=2012,YEAR($A126)=2013),SUM($J$12:$J125,$J126*(Y$8-$A125)/($A126-$A125)),"")))</f>
        <v/>
      </c>
    </row>
    <row r="125" spans="1:36" x14ac:dyDescent="0.2">
      <c r="A125" s="309" t="str">
        <f t="shared" si="3"/>
        <v/>
      </c>
      <c r="B125" s="168" t="str">
        <f>IF($E$5*$E$7&lt;113," ",113)</f>
        <v xml:space="preserve"> </v>
      </c>
      <c r="C125" s="201" t="str">
        <f>IF(AND(B123=" ",B124=" ",B125=" ")," ",IF(B124=" ",SUM(C$13:C123),IF(B125=" "," ",D125+E125)))</f>
        <v xml:space="preserve"> </v>
      </c>
      <c r="D125" s="201" t="str">
        <f>IF(AND(B123=" ",B124=" ",B125=" ")," ",IF(B124=" ",SUM(D$13:D123),IF(B125=" "," ",ROUND(F124*E$6/E$7,2))))</f>
        <v xml:space="preserve"> </v>
      </c>
      <c r="E125" s="201" t="str">
        <f>IF(AND(B123=" ",B124=" ",B125=" ")," ",IF(B124=" ",SUM(E$13:E123),IF(B125=" "," ",E$8)))</f>
        <v xml:space="preserve"> </v>
      </c>
      <c r="F125" s="201" t="str">
        <f>IF(AND(B123=" ",B124=" ",B125=" ")," ",IF(B124=" ",SUM(F$12:F122),IF(B125=" "," ",F124-E125)))</f>
        <v xml:space="preserve"> </v>
      </c>
      <c r="G125" s="201" t="str">
        <f>IF(AND(B123=" ",B124=" ",B125=" ")," ",IF(B124=" ",SUM(G$12:G123),IF(B126=" ",IF(E$5*E$7=B125,C125-C$7+C$8+G$10," "),C125)))</f>
        <v xml:space="preserve"> </v>
      </c>
      <c r="H125" s="204" t="str">
        <f>IF(AND(B123=" ",B124=" ",B125=" ")," ",IF(B124=" ",SUM(H$13:H123)*E$7,IF(B125=" "," ",IF(B126=" ",IF(E$5*E$7=B125,IRR(G$12:G125,0.01)," ")," "))))</f>
        <v xml:space="preserve"> </v>
      </c>
      <c r="I125" s="202" t="str">
        <f t="shared" si="4"/>
        <v/>
      </c>
      <c r="J125" s="202" t="str">
        <f t="shared" si="5"/>
        <v/>
      </c>
      <c r="K125" s="55"/>
      <c r="L125" s="56"/>
      <c r="O125" s="67"/>
      <c r="P125" s="67" t="str">
        <f>IF($A126="","",IF($A127="",IF(YEAR($A126)=2003,SUM($D$12:$D126),""),IF(AND(YEAR($A126)=2003,YEAR($A127)=2004),SUM($D$12:$D126,$D127*(P$8-$A126)/($A127-$A126)),"")))</f>
        <v/>
      </c>
      <c r="Q125" s="67" t="str">
        <f>IF(A126="","",IF(A127="",IF(YEAR(A126)=2004,SUM(D$12:D126),""),IF(AND(YEAR(A126)=2004,YEAR(A127)=2005),SUM(D$12:D126,D127*(Q$8-A126)/(A127-A126)),"")))</f>
        <v/>
      </c>
      <c r="R125" s="67" t="str">
        <f>IF(A126="","",IF(A127="",IF(YEAR(A126)=2005,SUM(D$12:D126),""),IF(AND(YEAR(A126)=2005,YEAR(A127)=2006),SUM(D$12:D126,D127*(R$8-A126)/(A127-A126)),"")))</f>
        <v/>
      </c>
      <c r="S125" s="67" t="str">
        <f>IF(A126="","",IF(A127="",IF(YEAR(A126)=2006,SUM(D$12:D126),""),IF(AND(YEAR(A126)=2006,YEAR(A127)=2007),SUM(D$12:D126,D127*(S$8-A126)/(A127-A126)),"")))</f>
        <v/>
      </c>
      <c r="T125" s="67" t="str">
        <f>IF(A126="","",IF(A127="",IF(YEAR(A126)=2007,SUM(D$12:D126),""),IF(AND(YEAR(A126)=2007,YEAR(A127)=2008),SUM(D$12:D126,D127*(T$8-A126)/(A127-A126)),"")))</f>
        <v/>
      </c>
      <c r="U125" s="67" t="str">
        <f>IF(A126="","",IF(A127="",IF(YEAR(A126)=2008,SUM(D$12:D126),""),IF(AND(YEAR(A126)=2008,YEAR(A127)=2009),SUM(D$12:D126,D127*(U$8-A126)/(A127-A126)),"")))</f>
        <v/>
      </c>
      <c r="V125" s="67" t="str">
        <f>IF(A126="","",IF(A127="",IF(YEAR(A126)=2009,SUM(D$12:D126),""),IF(AND(YEAR(A126)=2009,YEAR(A127)=2010),SUM(D$12:D126,D127*(V$8-A126)/(A127-A126)),"")))</f>
        <v/>
      </c>
      <c r="W125" s="67" t="str">
        <f>IF(A126="","",IF(A127="",IF(YEAR(A126)=2010,SUM(D$12:D126),""),IF(AND(YEAR(A126)=2010,YEAR(A127)=2011),SUM(D$12:D126,D127*(W$8-A126)/(A127-A126)),"")))</f>
        <v/>
      </c>
      <c r="X125" s="67" t="str">
        <f>IF(A126="","",IF(A127="",IF(YEAR(A126)=2011,SUM(D$12:D126),""),IF(AND(YEAR(A126)=2011,YEAR(A127)=2012),SUM(D$12:D126,D127*(X$8-A126)/(A127-A126)),"")))</f>
        <v/>
      </c>
      <c r="Y125" s="72" t="str">
        <f>IF(A126="","",IF(A127="",IF(YEAR(A126)=2012,SUM(D$12:D126),""),IF(AND(YEAR(A126)=2012,YEAR(A127)=2013),SUM(D$12:D126,D127*(Y$8-A126)/(A127-A126)),"")))</f>
        <v/>
      </c>
      <c r="Z125" s="67" t="str">
        <f>IF($A126="","",IF($A127="",IF(YEAR($A126)=2002,SUM($J$12:$J126),""),IF(AND(YEAR($A126)=2002,YEAR($A127)=2003),SUM($J$12:$J126,$J127*(O$8-$A126)/($A127-$A126)),"")))</f>
        <v/>
      </c>
      <c r="AA125" s="67" t="str">
        <f>IF($A126="","",IF($A127="",IF(YEAR($A126)=2003,SUM($J$12:$J126),""),IF(AND(YEAR($A126)=2003,YEAR($A127)=2004),SUM($J$12:$J126,$J127*(P$8-$A126)/($A127-$A126)),"")))</f>
        <v/>
      </c>
      <c r="AB125" s="67" t="str">
        <f>IF($A126="","",IF($A127="",IF(YEAR($A126)=2004,SUM($J$12:$J126),""),IF(AND(YEAR($A126)=2004,YEAR($A127)=2005),SUM($J$12:$J126,$J127*(Q$8-$A126)/($A127-$A126)),"")))</f>
        <v/>
      </c>
      <c r="AC125" s="67" t="str">
        <f>IF($A126="","",IF($A127="",IF(YEAR($A126)=2005,SUM($J$12:$J126),""),IF(AND(YEAR($A126)=2005,YEAR($A127)=2006),SUM($J$12:$J126,$J127*(R$8-$A126)/($A127-$A126)),"")))</f>
        <v/>
      </c>
      <c r="AD125" s="67" t="str">
        <f>IF($A126="","",IF($A127="",IF(YEAR($A126)=2006,SUM($J$12:$J126),""),IF(AND(YEAR($A126)=2006,YEAR($A127)=2007),SUM($J$12:$J126,$J127*(S$8-$A126)/($A127-$A126)),"")))</f>
        <v/>
      </c>
      <c r="AE125" s="67" t="str">
        <f>IF($A126="","",IF($A127="",IF(YEAR($A126)=2007,SUM($J$12:$J126),""),IF(AND(YEAR($A126)=2007,YEAR($A127)=2008),SUM($J$12:$J126,$J127*(T$8-$A126)/($A127-$A126)),"")))</f>
        <v/>
      </c>
      <c r="AF125" s="67" t="str">
        <f>IF($A126="","",IF($A127="",IF(YEAR($A126)=2008,SUM($J$12:$J126),""),IF(AND(YEAR($A126)=2008,YEAR($A127)=2009),SUM($J$12:$J126,$J127*(U$8-$A126)/($A127-$A126)),"")))</f>
        <v/>
      </c>
      <c r="AG125" s="67" t="str">
        <f>IF($A126="","",IF($A127="",IF(YEAR($A126)=2009,SUM($J$12:$J126),""),IF(AND(YEAR($A126)=2009,YEAR($A127)=2010),SUM($J$12:$J126,$J127*(V$8-$A126)/($A127-$A126)),"")))</f>
        <v/>
      </c>
      <c r="AH125" s="67" t="str">
        <f>IF($A126="","",IF($A127="",IF(YEAR($A126)=2010,SUM($J$12:$J126),""),IF(AND(YEAR($A126)=2010,YEAR($A127)=2011),SUM($J$12:$J126,$J127*(W$8-$A126)/($A127-$A126)),"")))</f>
        <v/>
      </c>
      <c r="AI125" s="67" t="str">
        <f>IF($A126="","",IF($A127="",IF(YEAR($A126)=2011,SUM($J$12:$J126),""),IF(AND(YEAR($A126)=2011,YEAR($A127)=2012),SUM($J$12:$J126,$J127*(X$8-$A126)/($A127-$A126)),"")))</f>
        <v/>
      </c>
      <c r="AJ125" s="67" t="str">
        <f>IF($A126="","",IF($A127="",IF(YEAR($A126)=2012,SUM($J$12:$J126),""),IF(AND(YEAR($A126)=2012,YEAR($A127)=2013),SUM($J$12:$J126,$J127*(Y$8-$A126)/($A127-$A126)),"")))</f>
        <v/>
      </c>
    </row>
    <row r="126" spans="1:36" x14ac:dyDescent="0.2">
      <c r="A126" s="309" t="str">
        <f t="shared" si="3"/>
        <v/>
      </c>
      <c r="B126" s="168" t="str">
        <f>IF($E$5*$E$7&lt;114," ",114)</f>
        <v xml:space="preserve"> </v>
      </c>
      <c r="C126" s="201" t="str">
        <f>IF(AND(B124=" ",B125=" ",B126=" ")," ",IF(B125=" ",SUM(C$13:C124),IF(B126=" "," ",D126+E126)))</f>
        <v xml:space="preserve"> </v>
      </c>
      <c r="D126" s="201" t="str">
        <f>IF(AND(B124=" ",B125=" ",B126=" ")," ",IF(B125=" ",SUM(D$13:D124),IF(B126=" "," ",ROUND(F125*E$6/E$7,2))))</f>
        <v xml:space="preserve"> </v>
      </c>
      <c r="E126" s="201" t="str">
        <f>IF(AND(B124=" ",B125=" ",B126=" ")," ",IF(B125=" ",SUM(E$13:E124),IF(B126=" "," ",E$8)))</f>
        <v xml:space="preserve"> </v>
      </c>
      <c r="F126" s="201" t="str">
        <f>IF(AND(B124=" ",B125=" ",B126=" ")," ",IF(B125=" ",SUM(F$12:F123),IF(B126=" "," ",F125-E126)))</f>
        <v xml:space="preserve"> </v>
      </c>
      <c r="G126" s="201" t="str">
        <f>IF(AND(B124=" ",B125=" ",B126=" ")," ",IF(B125=" ",SUM(G$12:G124),IF(B127=" ",IF(E$5*E$7=B126,C126-C$7+C$8+G$10," "),C126)))</f>
        <v xml:space="preserve"> </v>
      </c>
      <c r="H126" s="204" t="str">
        <f>IF(AND(B124=" ",B125=" ",B126=" ")," ",IF(B125=" ",SUM(H$13:H124)*E$7,IF(B126=" "," ",IF(B127=" ",IF(E$5*E$7=B126,IRR(G$12:G126,0.01)," ")," "))))</f>
        <v xml:space="preserve"> </v>
      </c>
      <c r="I126" s="202" t="str">
        <f t="shared" si="4"/>
        <v/>
      </c>
      <c r="J126" s="202" t="str">
        <f t="shared" si="5"/>
        <v/>
      </c>
      <c r="K126" s="55"/>
      <c r="L126" s="56"/>
      <c r="O126" s="67"/>
      <c r="P126" s="67" t="str">
        <f>IF($A127="","",IF($A128="",IF(YEAR($A127)=2003,SUM($D$12:$D127),""),IF(AND(YEAR($A127)=2003,YEAR($A128)=2004),SUM($D$12:$D127,$D128*(P$8-$A127)/($A128-$A127)),"")))</f>
        <v/>
      </c>
      <c r="Q126" s="67" t="str">
        <f>IF(A127="","",IF(A128="",IF(YEAR(A127)=2004,SUM(D$12:D127),""),IF(AND(YEAR(A127)=2004,YEAR(A128)=2005),SUM(D$12:D127,D128*(Q$8-A127)/(A128-A127)),"")))</f>
        <v/>
      </c>
      <c r="R126" s="67" t="str">
        <f>IF(A127="","",IF(A128="",IF(YEAR(A127)=2005,SUM(D$12:D127),""),IF(AND(YEAR(A127)=2005,YEAR(A128)=2006),SUM(D$12:D127,D128*(R$8-A127)/(A128-A127)),"")))</f>
        <v/>
      </c>
      <c r="S126" s="67" t="str">
        <f>IF(A127="","",IF(A128="",IF(YEAR(A127)=2006,SUM(D$12:D127),""),IF(AND(YEAR(A127)=2006,YEAR(A128)=2007),SUM(D$12:D127,D128*(S$8-A127)/(A128-A127)),"")))</f>
        <v/>
      </c>
      <c r="T126" s="67" t="str">
        <f>IF(A127="","",IF(A128="",IF(YEAR(A127)=2007,SUM(D$12:D127),""),IF(AND(YEAR(A127)=2007,YEAR(A128)=2008),SUM(D$12:D127,D128*(T$8-A127)/(A128-A127)),"")))</f>
        <v/>
      </c>
      <c r="U126" s="67" t="str">
        <f>IF(A127="","",IF(A128="",IF(YEAR(A127)=2008,SUM(D$12:D127),""),IF(AND(YEAR(A127)=2008,YEAR(A128)=2009),SUM(D$12:D127,D128*(U$8-A127)/(A128-A127)),"")))</f>
        <v/>
      </c>
      <c r="V126" s="67" t="str">
        <f>IF(A127="","",IF(A128="",IF(YEAR(A127)=2009,SUM(D$12:D127),""),IF(AND(YEAR(A127)=2009,YEAR(A128)=2010),SUM(D$12:D127,D128*(V$8-A127)/(A128-A127)),"")))</f>
        <v/>
      </c>
      <c r="W126" s="67" t="str">
        <f>IF(A127="","",IF(A128="",IF(YEAR(A127)=2010,SUM(D$12:D127),""),IF(AND(YEAR(A127)=2010,YEAR(A128)=2011),SUM(D$12:D127,D128*(W$8-A127)/(A128-A127)),"")))</f>
        <v/>
      </c>
      <c r="X126" s="67" t="str">
        <f>IF(A127="","",IF(A128="",IF(YEAR(A127)=2011,SUM(D$12:D127),""),IF(AND(YEAR(A127)=2011,YEAR(A128)=2012),SUM(D$12:D127,D128*(X$8-A127)/(A128-A127)),"")))</f>
        <v/>
      </c>
      <c r="Y126" s="72" t="str">
        <f>IF(A127="","",IF(A128="",IF(YEAR(A127)=2012,SUM(D$12:D127),""),IF(AND(YEAR(A127)=2012,YEAR(A128)=2013),SUM(D$12:D127,D128*(Y$8-A127)/(A128-A127)),"")))</f>
        <v/>
      </c>
      <c r="Z126" s="67" t="str">
        <f>IF($A127="","",IF($A128="",IF(YEAR($A127)=2002,SUM($J$12:$J127),""),IF(AND(YEAR($A127)=2002,YEAR($A128)=2003),SUM($J$12:$J127,$J128*(O$8-$A127)/($A128-$A127)),"")))</f>
        <v/>
      </c>
      <c r="AA126" s="67" t="str">
        <f>IF($A127="","",IF($A128="",IF(YEAR($A127)=2003,SUM($J$12:$J127),""),IF(AND(YEAR($A127)=2003,YEAR($A128)=2004),SUM($J$12:$J127,$J128*(P$8-$A127)/($A128-$A127)),"")))</f>
        <v/>
      </c>
      <c r="AB126" s="67" t="str">
        <f>IF($A127="","",IF($A128="",IF(YEAR($A127)=2004,SUM($J$12:$J127),""),IF(AND(YEAR($A127)=2004,YEAR($A128)=2005),SUM($J$12:$J127,$J128*(Q$8-$A127)/($A128-$A127)),"")))</f>
        <v/>
      </c>
      <c r="AC126" s="67" t="str">
        <f>IF($A127="","",IF($A128="",IF(YEAR($A127)=2005,SUM($J$12:$J127),""),IF(AND(YEAR($A127)=2005,YEAR($A128)=2006),SUM($J$12:$J127,$J128*(R$8-$A127)/($A128-$A127)),"")))</f>
        <v/>
      </c>
      <c r="AD126" s="67" t="str">
        <f>IF($A127="","",IF($A128="",IF(YEAR($A127)=2006,SUM($J$12:$J127),""),IF(AND(YEAR($A127)=2006,YEAR($A128)=2007),SUM($J$12:$J127,$J128*(S$8-$A127)/($A128-$A127)),"")))</f>
        <v/>
      </c>
      <c r="AE126" s="67" t="str">
        <f>IF($A127="","",IF($A128="",IF(YEAR($A127)=2007,SUM($J$12:$J127),""),IF(AND(YEAR($A127)=2007,YEAR($A128)=2008),SUM($J$12:$J127,$J128*(T$8-$A127)/($A128-$A127)),"")))</f>
        <v/>
      </c>
      <c r="AF126" s="67" t="str">
        <f>IF($A127="","",IF($A128="",IF(YEAR($A127)=2008,SUM($J$12:$J127),""),IF(AND(YEAR($A127)=2008,YEAR($A128)=2009),SUM($J$12:$J127,$J128*(U$8-$A127)/($A128-$A127)),"")))</f>
        <v/>
      </c>
      <c r="AG126" s="67" t="str">
        <f>IF($A127="","",IF($A128="",IF(YEAR($A127)=2009,SUM($J$12:$J127),""),IF(AND(YEAR($A127)=2009,YEAR($A128)=2010),SUM($J$12:$J127,$J128*(V$8-$A127)/($A128-$A127)),"")))</f>
        <v/>
      </c>
      <c r="AH126" s="67" t="str">
        <f>IF($A127="","",IF($A128="",IF(YEAR($A127)=2010,SUM($J$12:$J127),""),IF(AND(YEAR($A127)=2010,YEAR($A128)=2011),SUM($J$12:$J127,$J128*(W$8-$A127)/($A128-$A127)),"")))</f>
        <v/>
      </c>
      <c r="AI126" s="67" t="str">
        <f>IF($A127="","",IF($A128="",IF(YEAR($A127)=2011,SUM($J$12:$J127),""),IF(AND(YEAR($A127)=2011,YEAR($A128)=2012),SUM($J$12:$J127,$J128*(X$8-$A127)/($A128-$A127)),"")))</f>
        <v/>
      </c>
      <c r="AJ126" s="67" t="str">
        <f>IF($A127="","",IF($A128="",IF(YEAR($A127)=2012,SUM($J$12:$J127),""),IF(AND(YEAR($A127)=2012,YEAR($A128)=2013),SUM($J$12:$J127,$J128*(Y$8-$A127)/($A128-$A127)),"")))</f>
        <v/>
      </c>
    </row>
    <row r="127" spans="1:36" x14ac:dyDescent="0.2">
      <c r="A127" s="309" t="str">
        <f t="shared" si="3"/>
        <v/>
      </c>
      <c r="B127" s="168" t="str">
        <f>IF($E$5*$E$7&lt;115," ",115)</f>
        <v xml:space="preserve"> </v>
      </c>
      <c r="C127" s="201" t="str">
        <f>IF(AND(B125=" ",B126=" ",B127=" ")," ",IF(B126=" ",SUM(C$13:C125),IF(B127=" "," ",D127+E127)))</f>
        <v xml:space="preserve"> </v>
      </c>
      <c r="D127" s="201" t="str">
        <f>IF(AND(B125=" ",B126=" ",B127=" ")," ",IF(B126=" ",SUM(D$13:D125),IF(B127=" "," ",ROUND(F126*E$6/E$7,2))))</f>
        <v xml:space="preserve"> </v>
      </c>
      <c r="E127" s="201" t="str">
        <f>IF(AND(B125=" ",B126=" ",B127=" ")," ",IF(B126=" ",SUM(E$13:E125),IF(B127=" "," ",E$8)))</f>
        <v xml:space="preserve"> </v>
      </c>
      <c r="F127" s="201" t="str">
        <f>IF(AND(B125=" ",B126=" ",B127=" ")," ",IF(B126=" ",SUM(F$12:F124),IF(B127=" "," ",F126-E127)))</f>
        <v xml:space="preserve"> </v>
      </c>
      <c r="G127" s="201" t="str">
        <f>IF(AND(B125=" ",B126=" ",B127=" ")," ",IF(B126=" ",SUM(G$12:G125),IF(B128=" ",IF(E$5*E$7=B127,C127-C$7+C$8+G$10," "),C127)))</f>
        <v xml:space="preserve"> </v>
      </c>
      <c r="H127" s="204" t="str">
        <f>IF(AND(B125=" ",B126=" ",B127=" ")," ",IF(B126=" ",SUM(H$13:H125)*E$7,IF(B127=" "," ",IF(B128=" ",IF(E$5*E$7=B127,IRR(G$12:G127,0.01)," ")," "))))</f>
        <v xml:space="preserve"> </v>
      </c>
      <c r="I127" s="202" t="str">
        <f t="shared" si="4"/>
        <v/>
      </c>
      <c r="J127" s="202" t="str">
        <f t="shared" si="5"/>
        <v/>
      </c>
      <c r="K127" s="55"/>
      <c r="L127" s="56"/>
      <c r="O127" s="67"/>
      <c r="P127" s="67" t="str">
        <f>IF($A128="","",IF($A129="",IF(YEAR($A128)=2003,SUM($D$12:$D128),""),IF(AND(YEAR($A128)=2003,YEAR($A129)=2004),SUM($D$12:$D128,$D129*(P$8-$A128)/($A129-$A128)),"")))</f>
        <v/>
      </c>
      <c r="Q127" s="67" t="str">
        <f>IF(A128="","",IF(A129="",IF(YEAR(A128)=2004,SUM(D$12:D128),""),IF(AND(YEAR(A128)=2004,YEAR(A129)=2005),SUM(D$12:D128,D129*(Q$8-A128)/(A129-A128)),"")))</f>
        <v/>
      </c>
      <c r="R127" s="67" t="str">
        <f>IF(A128="","",IF(A129="",IF(YEAR(A128)=2005,SUM(D$12:D128),""),IF(AND(YEAR(A128)=2005,YEAR(A129)=2006),SUM(D$12:D128,D129*(R$8-A128)/(A129-A128)),"")))</f>
        <v/>
      </c>
      <c r="S127" s="67" t="str">
        <f>IF(A128="","",IF(A129="",IF(YEAR(A128)=2006,SUM(D$12:D128),""),IF(AND(YEAR(A128)=2006,YEAR(A129)=2007),SUM(D$12:D128,D129*(S$8-A128)/(A129-A128)),"")))</f>
        <v/>
      </c>
      <c r="T127" s="67" t="str">
        <f>IF(A128="","",IF(A129="",IF(YEAR(A128)=2007,SUM(D$12:D128),""),IF(AND(YEAR(A128)=2007,YEAR(A129)=2008),SUM(D$12:D128,D129*(T$8-A128)/(A129-A128)),"")))</f>
        <v/>
      </c>
      <c r="U127" s="67" t="str">
        <f>IF(A128="","",IF(A129="",IF(YEAR(A128)=2008,SUM(D$12:D128),""),IF(AND(YEAR(A128)=2008,YEAR(A129)=2009),SUM(D$12:D128,D129*(U$8-A128)/(A129-A128)),"")))</f>
        <v/>
      </c>
      <c r="V127" s="67" t="str">
        <f>IF(A128="","",IF(A129="",IF(YEAR(A128)=2009,SUM(D$12:D128),""),IF(AND(YEAR(A128)=2009,YEAR(A129)=2010),SUM(D$12:D128,D129*(V$8-A128)/(A129-A128)),"")))</f>
        <v/>
      </c>
      <c r="W127" s="67" t="str">
        <f>IF(A128="","",IF(A129="",IF(YEAR(A128)=2010,SUM(D$12:D128),""),IF(AND(YEAR(A128)=2010,YEAR(A129)=2011),SUM(D$12:D128,D129*(W$8-A128)/(A129-A128)),"")))</f>
        <v/>
      </c>
      <c r="X127" s="67" t="str">
        <f>IF(A128="","",IF(A129="",IF(YEAR(A128)=2011,SUM(D$12:D128),""),IF(AND(YEAR(A128)=2011,YEAR(A129)=2012),SUM(D$12:D128,D129*(X$8-A128)/(A129-A128)),"")))</f>
        <v/>
      </c>
      <c r="Y127" s="72" t="str">
        <f>IF(A128="","",IF(A129="",IF(YEAR(A128)=2012,SUM(D$12:D128),""),IF(AND(YEAR(A128)=2012,YEAR(A129)=2013),SUM(D$12:D128,D129*(Y$8-A128)/(A129-A128)),"")))</f>
        <v/>
      </c>
      <c r="Z127" s="67" t="str">
        <f>IF($A128="","",IF($A129="",IF(YEAR($A128)=2002,SUM($J$12:$J128),""),IF(AND(YEAR($A128)=2002,YEAR($A129)=2003),SUM($J$12:$J128,$J129*(O$8-$A128)/($A129-$A128)),"")))</f>
        <v/>
      </c>
      <c r="AA127" s="67" t="str">
        <f>IF($A128="","",IF($A129="",IF(YEAR($A128)=2003,SUM($J$12:$J128),""),IF(AND(YEAR($A128)=2003,YEAR($A129)=2004),SUM($J$12:$J128,$J129*(P$8-$A128)/($A129-$A128)),"")))</f>
        <v/>
      </c>
      <c r="AB127" s="67" t="str">
        <f>IF($A128="","",IF($A129="",IF(YEAR($A128)=2004,SUM($J$12:$J128),""),IF(AND(YEAR($A128)=2004,YEAR($A129)=2005),SUM($J$12:$J128,$J129*(Q$8-$A128)/($A129-$A128)),"")))</f>
        <v/>
      </c>
      <c r="AC127" s="67" t="str">
        <f>IF($A128="","",IF($A129="",IF(YEAR($A128)=2005,SUM($J$12:$J128),""),IF(AND(YEAR($A128)=2005,YEAR($A129)=2006),SUM($J$12:$J128,$J129*(R$8-$A128)/($A129-$A128)),"")))</f>
        <v/>
      </c>
      <c r="AD127" s="67" t="str">
        <f>IF($A128="","",IF($A129="",IF(YEAR($A128)=2006,SUM($J$12:$J128),""),IF(AND(YEAR($A128)=2006,YEAR($A129)=2007),SUM($J$12:$J128,$J129*(S$8-$A128)/($A129-$A128)),"")))</f>
        <v/>
      </c>
      <c r="AE127" s="67" t="str">
        <f>IF($A128="","",IF($A129="",IF(YEAR($A128)=2007,SUM($J$12:$J128),""),IF(AND(YEAR($A128)=2007,YEAR($A129)=2008),SUM($J$12:$J128,$J129*(T$8-$A128)/($A129-$A128)),"")))</f>
        <v/>
      </c>
      <c r="AF127" s="67" t="str">
        <f>IF($A128="","",IF($A129="",IF(YEAR($A128)=2008,SUM($J$12:$J128),""),IF(AND(YEAR($A128)=2008,YEAR($A129)=2009),SUM($J$12:$J128,$J129*(U$8-$A128)/($A129-$A128)),"")))</f>
        <v/>
      </c>
      <c r="AG127" s="67" t="str">
        <f>IF($A128="","",IF($A129="",IF(YEAR($A128)=2009,SUM($J$12:$J128),""),IF(AND(YEAR($A128)=2009,YEAR($A129)=2010),SUM($J$12:$J128,$J129*(V$8-$A128)/($A129-$A128)),"")))</f>
        <v/>
      </c>
      <c r="AH127" s="67" t="str">
        <f>IF($A128="","",IF($A129="",IF(YEAR($A128)=2010,SUM($J$12:$J128),""),IF(AND(YEAR($A128)=2010,YEAR($A129)=2011),SUM($J$12:$J128,$J129*(W$8-$A128)/($A129-$A128)),"")))</f>
        <v/>
      </c>
      <c r="AI127" s="67" t="str">
        <f>IF($A128="","",IF($A129="",IF(YEAR($A128)=2011,SUM($J$12:$J128),""),IF(AND(YEAR($A128)=2011,YEAR($A129)=2012),SUM($J$12:$J128,$J129*(X$8-$A128)/($A129-$A128)),"")))</f>
        <v/>
      </c>
      <c r="AJ127" s="67" t="str">
        <f>IF($A128="","",IF($A129="",IF(YEAR($A128)=2012,SUM($J$12:$J128),""),IF(AND(YEAR($A128)=2012,YEAR($A129)=2013),SUM($J$12:$J128,$J129*(Y$8-$A128)/($A129-$A128)),"")))</f>
        <v/>
      </c>
    </row>
    <row r="128" spans="1:36" x14ac:dyDescent="0.2">
      <c r="A128" s="309" t="str">
        <f t="shared" si="3"/>
        <v/>
      </c>
      <c r="B128" s="168" t="str">
        <f>IF($E$5*$E$7&lt;116," ",116)</f>
        <v xml:space="preserve"> </v>
      </c>
      <c r="C128" s="201" t="str">
        <f>IF(AND(B126=" ",B127=" ",B128=" ")," ",IF(B127=" ",SUM(C$13:C126),IF(B128=" "," ",D128+E128)))</f>
        <v xml:space="preserve"> </v>
      </c>
      <c r="D128" s="201" t="str">
        <f>IF(AND(B126=" ",B127=" ",B128=" ")," ",IF(B127=" ",SUM(D$13:D126),IF(B128=" "," ",ROUND(F127*E$6/E$7,2))))</f>
        <v xml:space="preserve"> </v>
      </c>
      <c r="E128" s="201" t="str">
        <f>IF(AND(B126=" ",B127=" ",B128=" ")," ",IF(B127=" ",SUM(E$13:E126),IF(B128=" "," ",E$8)))</f>
        <v xml:space="preserve"> </v>
      </c>
      <c r="F128" s="201" t="str">
        <f>IF(AND(B126=" ",B127=" ",B128=" ")," ",IF(B127=" ",SUM(F$12:F125),IF(B128=" "," ",F127-E128)))</f>
        <v xml:space="preserve"> </v>
      </c>
      <c r="G128" s="201" t="str">
        <f>IF(AND(B126=" ",B127=" ",B128=" ")," ",IF(B127=" ",SUM(G$12:G126),IF(B129=" ",IF(E$5*E$7=B128,C128-C$7+C$8+G$10," "),C128)))</f>
        <v xml:space="preserve"> </v>
      </c>
      <c r="H128" s="204" t="str">
        <f>IF(AND(B126=" ",B127=" ",B128=" ")," ",IF(B127=" ",SUM(H$13:H126)*E$7,IF(B128=" "," ",IF(B129=" ",IF(E$5*E$7=B128,IRR(G$12:G128,0.01)," ")," "))))</f>
        <v xml:space="preserve"> </v>
      </c>
      <c r="I128" s="202" t="str">
        <f t="shared" si="4"/>
        <v/>
      </c>
      <c r="J128" s="202" t="str">
        <f t="shared" si="5"/>
        <v/>
      </c>
      <c r="K128" s="55"/>
      <c r="L128" s="56"/>
      <c r="O128" s="67"/>
      <c r="P128" s="67" t="str">
        <f>IF($A129="","",IF($A130="",IF(YEAR($A129)=2003,SUM($D$12:$D129),""),IF(AND(YEAR($A129)=2003,YEAR($A130)=2004),SUM($D$12:$D129,$D130*(P$8-$A129)/($A130-$A129)),"")))</f>
        <v/>
      </c>
      <c r="Q128" s="67" t="str">
        <f>IF(A129="","",IF(A130="",IF(YEAR(A129)=2004,SUM(D$12:D129),""),IF(AND(YEAR(A129)=2004,YEAR(A130)=2005),SUM(D$12:D129,D130*(Q$8-A129)/(A130-A129)),"")))</f>
        <v/>
      </c>
      <c r="R128" s="67" t="str">
        <f>IF(A129="","",IF(A130="",IF(YEAR(A129)=2005,SUM(D$12:D129),""),IF(AND(YEAR(A129)=2005,YEAR(A130)=2006),SUM(D$12:D129,D130*(R$8-A129)/(A130-A129)),"")))</f>
        <v/>
      </c>
      <c r="S128" s="67" t="str">
        <f>IF(A129="","",IF(A130="",IF(YEAR(A129)=2006,SUM(D$12:D129),""),IF(AND(YEAR(A129)=2006,YEAR(A130)=2007),SUM(D$12:D129,D130*(S$8-A129)/(A130-A129)),"")))</f>
        <v/>
      </c>
      <c r="T128" s="67" t="str">
        <f>IF(A129="","",IF(A130="",IF(YEAR(A129)=2007,SUM(D$12:D129),""),IF(AND(YEAR(A129)=2007,YEAR(A130)=2008),SUM(D$12:D129,D130*(T$8-A129)/(A130-A129)),"")))</f>
        <v/>
      </c>
      <c r="U128" s="67" t="str">
        <f>IF(A129="","",IF(A130="",IF(YEAR(A129)=2008,SUM(D$12:D129),""),IF(AND(YEAR(A129)=2008,YEAR(A130)=2009),SUM(D$12:D129,D130*(U$8-A129)/(A130-A129)),"")))</f>
        <v/>
      </c>
      <c r="V128" s="67" t="str">
        <f>IF(A129="","",IF(A130="",IF(YEAR(A129)=2009,SUM(D$12:D129),""),IF(AND(YEAR(A129)=2009,YEAR(A130)=2010),SUM(D$12:D129,D130*(V$8-A129)/(A130-A129)),"")))</f>
        <v/>
      </c>
      <c r="W128" s="67" t="str">
        <f>IF(A129="","",IF(A130="",IF(YEAR(A129)=2010,SUM(D$12:D129),""),IF(AND(YEAR(A129)=2010,YEAR(A130)=2011),SUM(D$12:D129,D130*(W$8-A129)/(A130-A129)),"")))</f>
        <v/>
      </c>
      <c r="X128" s="67" t="str">
        <f>IF(A129="","",IF(A130="",IF(YEAR(A129)=2011,SUM(D$12:D129),""),IF(AND(YEAR(A129)=2011,YEAR(A130)=2012),SUM(D$12:D129,D130*(X$8-A129)/(A130-A129)),"")))</f>
        <v/>
      </c>
      <c r="Y128" s="72" t="str">
        <f>IF(A129="","",IF(A130="",IF(YEAR(A129)=2012,SUM(D$12:D129),""),IF(AND(YEAR(A129)=2012,YEAR(A130)=2013),SUM(D$12:D129,D130*(Y$8-A129)/(A130-A129)),"")))</f>
        <v/>
      </c>
      <c r="Z128" s="67" t="str">
        <f>IF($A129="","",IF($A130="",IF(YEAR($A129)=2002,SUM($J$12:$J129),""),IF(AND(YEAR($A129)=2002,YEAR($A130)=2003),SUM($J$12:$J129,$J130*(O$8-$A129)/($A130-$A129)),"")))</f>
        <v/>
      </c>
      <c r="AA128" s="67" t="str">
        <f>IF($A129="","",IF($A130="",IF(YEAR($A129)=2003,SUM($J$12:$J129),""),IF(AND(YEAR($A129)=2003,YEAR($A130)=2004),SUM($J$12:$J129,$J130*(P$8-$A129)/($A130-$A129)),"")))</f>
        <v/>
      </c>
      <c r="AB128" s="67" t="str">
        <f>IF($A129="","",IF($A130="",IF(YEAR($A129)=2004,SUM($J$12:$J129),""),IF(AND(YEAR($A129)=2004,YEAR($A130)=2005),SUM($J$12:$J129,$J130*(Q$8-$A129)/($A130-$A129)),"")))</f>
        <v/>
      </c>
      <c r="AC128" s="67" t="str">
        <f>IF($A129="","",IF($A130="",IF(YEAR($A129)=2005,SUM($J$12:$J129),""),IF(AND(YEAR($A129)=2005,YEAR($A130)=2006),SUM($J$12:$J129,$J130*(R$8-$A129)/($A130-$A129)),"")))</f>
        <v/>
      </c>
      <c r="AD128" s="67" t="str">
        <f>IF($A129="","",IF($A130="",IF(YEAR($A129)=2006,SUM($J$12:$J129),""),IF(AND(YEAR($A129)=2006,YEAR($A130)=2007),SUM($J$12:$J129,$J130*(S$8-$A129)/($A130-$A129)),"")))</f>
        <v/>
      </c>
      <c r="AE128" s="67" t="str">
        <f>IF($A129="","",IF($A130="",IF(YEAR($A129)=2007,SUM($J$12:$J129),""),IF(AND(YEAR($A129)=2007,YEAR($A130)=2008),SUM($J$12:$J129,$J130*(T$8-$A129)/($A130-$A129)),"")))</f>
        <v/>
      </c>
      <c r="AF128" s="67" t="str">
        <f>IF($A129="","",IF($A130="",IF(YEAR($A129)=2008,SUM($J$12:$J129),""),IF(AND(YEAR($A129)=2008,YEAR($A130)=2009),SUM($J$12:$J129,$J130*(U$8-$A129)/($A130-$A129)),"")))</f>
        <v/>
      </c>
      <c r="AG128" s="67" t="str">
        <f>IF($A129="","",IF($A130="",IF(YEAR($A129)=2009,SUM($J$12:$J129),""),IF(AND(YEAR($A129)=2009,YEAR($A130)=2010),SUM($J$12:$J129,$J130*(V$8-$A129)/($A130-$A129)),"")))</f>
        <v/>
      </c>
      <c r="AH128" s="67" t="str">
        <f>IF($A129="","",IF($A130="",IF(YEAR($A129)=2010,SUM($J$12:$J129),""),IF(AND(YEAR($A129)=2010,YEAR($A130)=2011),SUM($J$12:$J129,$J130*(W$8-$A129)/($A130-$A129)),"")))</f>
        <v/>
      </c>
      <c r="AI128" s="67" t="str">
        <f>IF($A129="","",IF($A130="",IF(YEAR($A129)=2011,SUM($J$12:$J129),""),IF(AND(YEAR($A129)=2011,YEAR($A130)=2012),SUM($J$12:$J129,$J130*(X$8-$A129)/($A130-$A129)),"")))</f>
        <v/>
      </c>
      <c r="AJ128" s="67" t="str">
        <f>IF($A129="","",IF($A130="",IF(YEAR($A129)=2012,SUM($J$12:$J129),""),IF(AND(YEAR($A129)=2012,YEAR($A130)=2013),SUM($J$12:$J129,$J130*(Y$8-$A129)/($A130-$A129)),"")))</f>
        <v/>
      </c>
    </row>
    <row r="129" spans="1:36" x14ac:dyDescent="0.2">
      <c r="A129" s="309" t="str">
        <f t="shared" si="3"/>
        <v/>
      </c>
      <c r="B129" s="168" t="str">
        <f>IF($E$5*$E$7&lt;117," ",117)</f>
        <v xml:space="preserve"> </v>
      </c>
      <c r="C129" s="201" t="str">
        <f>IF(AND(B127=" ",B128=" ",B129=" ")," ",IF(B128=" ",SUM(C$13:C127),IF(B129=" "," ",D129+E129)))</f>
        <v xml:space="preserve"> </v>
      </c>
      <c r="D129" s="201" t="str">
        <f>IF(AND(B127=" ",B128=" ",B129=" ")," ",IF(B128=" ",SUM(D$13:D127),IF(B129=" "," ",ROUND(F128*E$6/E$7,2))))</f>
        <v xml:space="preserve"> </v>
      </c>
      <c r="E129" s="201" t="str">
        <f>IF(AND(B127=" ",B128=" ",B129=" ")," ",IF(B128=" ",SUM(E$13:E127),IF(B129=" "," ",E$8)))</f>
        <v xml:space="preserve"> </v>
      </c>
      <c r="F129" s="201" t="str">
        <f>IF(AND(B127=" ",B128=" ",B129=" ")," ",IF(B128=" ",SUM(F$12:F126),IF(B129=" "," ",F128-E129)))</f>
        <v xml:space="preserve"> </v>
      </c>
      <c r="G129" s="201" t="str">
        <f>IF(AND(B127=" ",B128=" ",B129=" ")," ",IF(B128=" ",SUM(G$12:G127),IF(B130=" ",IF(E$5*E$7=B129,C129-C$7+C$8+G$10," "),C129)))</f>
        <v xml:space="preserve"> </v>
      </c>
      <c r="H129" s="204" t="str">
        <f>IF(AND(B127=" ",B128=" ",B129=" ")," ",IF(B128=" ",SUM(H$13:H127)*E$7,IF(B129=" "," ",IF(B130=" ",IF(E$5*E$7=B129,IRR(G$12:G129,0.01)," ")," "))))</f>
        <v xml:space="preserve"> </v>
      </c>
      <c r="I129" s="202" t="str">
        <f t="shared" si="4"/>
        <v/>
      </c>
      <c r="J129" s="202" t="str">
        <f t="shared" si="5"/>
        <v/>
      </c>
      <c r="K129" s="55"/>
      <c r="L129" s="56"/>
      <c r="O129" s="67"/>
      <c r="P129" s="67" t="str">
        <f>IF($A130="","",IF($A131="",IF(YEAR($A130)=2003,SUM($D$12:$D130),""),IF(AND(YEAR($A130)=2003,YEAR($A131)=2004),SUM($D$12:$D130,$D131*(P$8-$A130)/($A131-$A130)),"")))</f>
        <v/>
      </c>
      <c r="Q129" s="67" t="str">
        <f>IF(A130="","",IF(A131="",IF(YEAR(A130)=2004,SUM(D$12:D130),""),IF(AND(YEAR(A130)=2004,YEAR(A131)=2005),SUM(D$12:D130,D131*(Q$8-A130)/(A131-A130)),"")))</f>
        <v/>
      </c>
      <c r="R129" s="67" t="str">
        <f>IF(A130="","",IF(A131="",IF(YEAR(A130)=2005,SUM(D$12:D130),""),IF(AND(YEAR(A130)=2005,YEAR(A131)=2006),SUM(D$12:D130,D131*(R$8-A130)/(A131-A130)),"")))</f>
        <v/>
      </c>
      <c r="S129" s="67" t="str">
        <f>IF(A130="","",IF(A131="",IF(YEAR(A130)=2006,SUM(D$12:D130),""),IF(AND(YEAR(A130)=2006,YEAR(A131)=2007),SUM(D$12:D130,D131*(S$8-A130)/(A131-A130)),"")))</f>
        <v/>
      </c>
      <c r="T129" s="67" t="str">
        <f>IF(A130="","",IF(A131="",IF(YEAR(A130)=2007,SUM(D$12:D130),""),IF(AND(YEAR(A130)=2007,YEAR(A131)=2008),SUM(D$12:D130,D131*(T$8-A130)/(A131-A130)),"")))</f>
        <v/>
      </c>
      <c r="U129" s="67" t="str">
        <f>IF(A130="","",IF(A131="",IF(YEAR(A130)=2008,SUM(D$12:D130),""),IF(AND(YEAR(A130)=2008,YEAR(A131)=2009),SUM(D$12:D130,D131*(U$8-A130)/(A131-A130)),"")))</f>
        <v/>
      </c>
      <c r="V129" s="67" t="str">
        <f>IF(A130="","",IF(A131="",IF(YEAR(A130)=2009,SUM(D$12:D130),""),IF(AND(YEAR(A130)=2009,YEAR(A131)=2010),SUM(D$12:D130,D131*(V$8-A130)/(A131-A130)),"")))</f>
        <v/>
      </c>
      <c r="W129" s="67" t="str">
        <f>IF(A130="","",IF(A131="",IF(YEAR(A130)=2010,SUM(D$12:D130),""),IF(AND(YEAR(A130)=2010,YEAR(A131)=2011),SUM(D$12:D130,D131*(W$8-A130)/(A131-A130)),"")))</f>
        <v/>
      </c>
      <c r="X129" s="67" t="str">
        <f>IF(A130="","",IF(A131="",IF(YEAR(A130)=2011,SUM(D$12:D130),""),IF(AND(YEAR(A130)=2011,YEAR(A131)=2012),SUM(D$12:D130,D131*(X$8-A130)/(A131-A130)),"")))</f>
        <v/>
      </c>
      <c r="Y129" s="72" t="str">
        <f>IF(A130="","",IF(A131="",IF(YEAR(A130)=2012,SUM(D$12:D130),""),IF(AND(YEAR(A130)=2012,YEAR(A131)=2013),SUM(D$12:D130,D131*(Y$8-A130)/(A131-A130)),"")))</f>
        <v/>
      </c>
      <c r="Z129" s="67" t="str">
        <f>IF($A130="","",IF($A131="",IF(YEAR($A130)=2002,SUM($J$12:$J130),""),IF(AND(YEAR($A130)=2002,YEAR($A131)=2003),SUM($J$12:$J130,$J131*(O$8-$A130)/($A131-$A130)),"")))</f>
        <v/>
      </c>
      <c r="AA129" s="67" t="str">
        <f>IF($A130="","",IF($A131="",IF(YEAR($A130)=2003,SUM($J$12:$J130),""),IF(AND(YEAR($A130)=2003,YEAR($A131)=2004),SUM($J$12:$J130,$J131*(P$8-$A130)/($A131-$A130)),"")))</f>
        <v/>
      </c>
      <c r="AB129" s="67" t="str">
        <f>IF($A130="","",IF($A131="",IF(YEAR($A130)=2004,SUM($J$12:$J130),""),IF(AND(YEAR($A130)=2004,YEAR($A131)=2005),SUM($J$12:$J130,$J131*(Q$8-$A130)/($A131-$A130)),"")))</f>
        <v/>
      </c>
      <c r="AC129" s="67" t="str">
        <f>IF($A130="","",IF($A131="",IF(YEAR($A130)=2005,SUM($J$12:$J130),""),IF(AND(YEAR($A130)=2005,YEAR($A131)=2006),SUM($J$12:$J130,$J131*(R$8-$A130)/($A131-$A130)),"")))</f>
        <v/>
      </c>
      <c r="AD129" s="67" t="str">
        <f>IF($A130="","",IF($A131="",IF(YEAR($A130)=2006,SUM($J$12:$J130),""),IF(AND(YEAR($A130)=2006,YEAR($A131)=2007),SUM($J$12:$J130,$J131*(S$8-$A130)/($A131-$A130)),"")))</f>
        <v/>
      </c>
      <c r="AE129" s="67" t="str">
        <f>IF($A130="","",IF($A131="",IF(YEAR($A130)=2007,SUM($J$12:$J130),""),IF(AND(YEAR($A130)=2007,YEAR($A131)=2008),SUM($J$12:$J130,$J131*(T$8-$A130)/($A131-$A130)),"")))</f>
        <v/>
      </c>
      <c r="AF129" s="67" t="str">
        <f>IF($A130="","",IF($A131="",IF(YEAR($A130)=2008,SUM($J$12:$J130),""),IF(AND(YEAR($A130)=2008,YEAR($A131)=2009),SUM($J$12:$J130,$J131*(U$8-$A130)/($A131-$A130)),"")))</f>
        <v/>
      </c>
      <c r="AG129" s="67" t="str">
        <f>IF($A130="","",IF($A131="",IF(YEAR($A130)=2009,SUM($J$12:$J130),""),IF(AND(YEAR($A130)=2009,YEAR($A131)=2010),SUM($J$12:$J130,$J131*(V$8-$A130)/($A131-$A130)),"")))</f>
        <v/>
      </c>
      <c r="AH129" s="67" t="str">
        <f>IF($A130="","",IF($A131="",IF(YEAR($A130)=2010,SUM($J$12:$J130),""),IF(AND(YEAR($A130)=2010,YEAR($A131)=2011),SUM($J$12:$J130,$J131*(W$8-$A130)/($A131-$A130)),"")))</f>
        <v/>
      </c>
      <c r="AI129" s="67" t="str">
        <f>IF($A130="","",IF($A131="",IF(YEAR($A130)=2011,SUM($J$12:$J130),""),IF(AND(YEAR($A130)=2011,YEAR($A131)=2012),SUM($J$12:$J130,$J131*(X$8-$A130)/($A131-$A130)),"")))</f>
        <v/>
      </c>
      <c r="AJ129" s="67" t="str">
        <f>IF($A130="","",IF($A131="",IF(YEAR($A130)=2012,SUM($J$12:$J130),""),IF(AND(YEAR($A130)=2012,YEAR($A131)=2013),SUM($J$12:$J130,$J131*(Y$8-$A130)/($A131-$A130)),"")))</f>
        <v/>
      </c>
    </row>
    <row r="130" spans="1:36" x14ac:dyDescent="0.2">
      <c r="A130" s="309" t="str">
        <f t="shared" si="3"/>
        <v/>
      </c>
      <c r="B130" s="168" t="str">
        <f>IF($E$5*$E$7&lt;118," ",118)</f>
        <v xml:space="preserve"> </v>
      </c>
      <c r="C130" s="201" t="str">
        <f>IF(AND(B128=" ",B129=" ",B130=" ")," ",IF(B129=" ",SUM(C$13:C128),IF(B130=" "," ",D130+E130)))</f>
        <v xml:space="preserve"> </v>
      </c>
      <c r="D130" s="201" t="str">
        <f>IF(AND(B128=" ",B129=" ",B130=" ")," ",IF(B129=" ",SUM(D$13:D128),IF(B130=" "," ",ROUND(F129*E$6/E$7,2))))</f>
        <v xml:space="preserve"> </v>
      </c>
      <c r="E130" s="201" t="str">
        <f>IF(AND(B128=" ",B129=" ",B130=" ")," ",IF(B129=" ",SUM(E$13:E128),IF(B130=" "," ",E$8)))</f>
        <v xml:space="preserve"> </v>
      </c>
      <c r="F130" s="201" t="str">
        <f>IF(AND(B128=" ",B129=" ",B130=" ")," ",IF(B129=" ",SUM(F$12:F127),IF(B130=" "," ",F129-E130)))</f>
        <v xml:space="preserve"> </v>
      </c>
      <c r="G130" s="201" t="str">
        <f>IF(AND(B128=" ",B129=" ",B130=" ")," ",IF(B129=" ",SUM(G$12:G128),IF(B131=" ",IF(E$5*E$7=B130,C130-C$7+C$8+G$10," "),C130)))</f>
        <v xml:space="preserve"> </v>
      </c>
      <c r="H130" s="204" t="str">
        <f>IF(AND(B128=" ",B129=" ",B130=" ")," ",IF(B129=" ",SUM(H$13:H128)*E$7,IF(B130=" "," ",IF(B131=" ",IF(E$5*E$7=B130,IRR(G$12:G130,0.01)," ")," "))))</f>
        <v xml:space="preserve"> </v>
      </c>
      <c r="I130" s="202" t="str">
        <f t="shared" si="4"/>
        <v/>
      </c>
      <c r="J130" s="202" t="str">
        <f t="shared" si="5"/>
        <v/>
      </c>
      <c r="K130" s="55"/>
      <c r="L130" s="56"/>
      <c r="O130" s="67"/>
      <c r="P130" s="67" t="str">
        <f>IF($A131="","",IF($A132="",IF(YEAR($A131)=2003,SUM($D$12:$D131),""),IF(AND(YEAR($A131)=2003,YEAR($A132)=2004),SUM($D$12:$D131,$D132*(P$8-$A131)/($A132-$A131)),"")))</f>
        <v/>
      </c>
      <c r="Q130" s="67" t="str">
        <f>IF(A131="","",IF(A132="",IF(YEAR(A131)=2004,SUM(D$12:D131),""),IF(AND(YEAR(A131)=2004,YEAR(A132)=2005),SUM(D$12:D131,D132*(Q$8-A131)/(A132-A131)),"")))</f>
        <v/>
      </c>
      <c r="R130" s="67" t="str">
        <f>IF(A131="","",IF(A132="",IF(YEAR(A131)=2005,SUM(D$12:D131),""),IF(AND(YEAR(A131)=2005,YEAR(A132)=2006),SUM(D$12:D131,D132*(R$8-A131)/(A132-A131)),"")))</f>
        <v/>
      </c>
      <c r="S130" s="67" t="str">
        <f>IF(A131="","",IF(A132="",IF(YEAR(A131)=2006,SUM(D$12:D131),""),IF(AND(YEAR(A131)=2006,YEAR(A132)=2007),SUM(D$12:D131,D132*(S$8-A131)/(A132-A131)),"")))</f>
        <v/>
      </c>
      <c r="T130" s="67" t="str">
        <f>IF(A131="","",IF(A132="",IF(YEAR(A131)=2007,SUM(D$12:D131),""),IF(AND(YEAR(A131)=2007,YEAR(A132)=2008),SUM(D$12:D131,D132*(T$8-A131)/(A132-A131)),"")))</f>
        <v/>
      </c>
      <c r="U130" s="67" t="str">
        <f>IF(A131="","",IF(A132="",IF(YEAR(A131)=2008,SUM(D$12:D131),""),IF(AND(YEAR(A131)=2008,YEAR(A132)=2009),SUM(D$12:D131,D132*(U$8-A131)/(A132-A131)),"")))</f>
        <v/>
      </c>
      <c r="V130" s="67" t="str">
        <f>IF(A131="","",IF(A132="",IF(YEAR(A131)=2009,SUM(D$12:D131),""),IF(AND(YEAR(A131)=2009,YEAR(A132)=2010),SUM(D$12:D131,D132*(V$8-A131)/(A132-A131)),"")))</f>
        <v/>
      </c>
      <c r="W130" s="67" t="str">
        <f>IF(A131="","",IF(A132="",IF(YEAR(A131)=2010,SUM(D$12:D131),""),IF(AND(YEAR(A131)=2010,YEAR(A132)=2011),SUM(D$12:D131,D132*(W$8-A131)/(A132-A131)),"")))</f>
        <v/>
      </c>
      <c r="X130" s="67" t="str">
        <f>IF(A131="","",IF(A132="",IF(YEAR(A131)=2011,SUM(D$12:D131),""),IF(AND(YEAR(A131)=2011,YEAR(A132)=2012),SUM(D$12:D131,D132*(X$8-A131)/(A132-A131)),"")))</f>
        <v/>
      </c>
      <c r="Y130" s="72" t="str">
        <f>IF(A131="","",IF(A132="",IF(YEAR(A131)=2012,SUM(D$12:D131),""),IF(AND(YEAR(A131)=2012,YEAR(A132)=2013),SUM(D$12:D131,D132*(Y$8-A131)/(A132-A131)),"")))</f>
        <v/>
      </c>
      <c r="Z130" s="67" t="str">
        <f>IF($A131="","",IF($A132="",IF(YEAR($A131)=2002,SUM($J$12:$J131),""),IF(AND(YEAR($A131)=2002,YEAR($A132)=2003),SUM($J$12:$J131,$J132*(O$8-$A131)/($A132-$A131)),"")))</f>
        <v/>
      </c>
      <c r="AA130" s="67" t="str">
        <f>IF($A131="","",IF($A132="",IF(YEAR($A131)=2003,SUM($J$12:$J131),""),IF(AND(YEAR($A131)=2003,YEAR($A132)=2004),SUM($J$12:$J131,$J132*(P$8-$A131)/($A132-$A131)),"")))</f>
        <v/>
      </c>
      <c r="AB130" s="67" t="str">
        <f>IF($A131="","",IF($A132="",IF(YEAR($A131)=2004,SUM($J$12:$J131),""),IF(AND(YEAR($A131)=2004,YEAR($A132)=2005),SUM($J$12:$J131,$J132*(Q$8-$A131)/($A132-$A131)),"")))</f>
        <v/>
      </c>
      <c r="AC130" s="67" t="str">
        <f>IF($A131="","",IF($A132="",IF(YEAR($A131)=2005,SUM($J$12:$J131),""),IF(AND(YEAR($A131)=2005,YEAR($A132)=2006),SUM($J$12:$J131,$J132*(R$8-$A131)/($A132-$A131)),"")))</f>
        <v/>
      </c>
      <c r="AD130" s="67" t="str">
        <f>IF($A131="","",IF($A132="",IF(YEAR($A131)=2006,SUM($J$12:$J131),""),IF(AND(YEAR($A131)=2006,YEAR($A132)=2007),SUM($J$12:$J131,$J132*(S$8-$A131)/($A132-$A131)),"")))</f>
        <v/>
      </c>
      <c r="AE130" s="67" t="str">
        <f>IF($A131="","",IF($A132="",IF(YEAR($A131)=2007,SUM($J$12:$J131),""),IF(AND(YEAR($A131)=2007,YEAR($A132)=2008),SUM($J$12:$J131,$J132*(T$8-$A131)/($A132-$A131)),"")))</f>
        <v/>
      </c>
      <c r="AF130" s="67" t="str">
        <f>IF($A131="","",IF($A132="",IF(YEAR($A131)=2008,SUM($J$12:$J131),""),IF(AND(YEAR($A131)=2008,YEAR($A132)=2009),SUM($J$12:$J131,$J132*(U$8-$A131)/($A132-$A131)),"")))</f>
        <v/>
      </c>
      <c r="AG130" s="67" t="str">
        <f>IF($A131="","",IF($A132="",IF(YEAR($A131)=2009,SUM($J$12:$J131),""),IF(AND(YEAR($A131)=2009,YEAR($A132)=2010),SUM($J$12:$J131,$J132*(V$8-$A131)/($A132-$A131)),"")))</f>
        <v/>
      </c>
      <c r="AH130" s="67" t="str">
        <f>IF($A131="","",IF($A132="",IF(YEAR($A131)=2010,SUM($J$12:$J131),""),IF(AND(YEAR($A131)=2010,YEAR($A132)=2011),SUM($J$12:$J131,$J132*(W$8-$A131)/($A132-$A131)),"")))</f>
        <v/>
      </c>
      <c r="AI130" s="67" t="str">
        <f>IF($A131="","",IF($A132="",IF(YEAR($A131)=2011,SUM($J$12:$J131),""),IF(AND(YEAR($A131)=2011,YEAR($A132)=2012),SUM($J$12:$J131,$J132*(X$8-$A131)/($A132-$A131)),"")))</f>
        <v/>
      </c>
      <c r="AJ130" s="67" t="str">
        <f>IF($A131="","",IF($A132="",IF(YEAR($A131)=2012,SUM($J$12:$J131),""),IF(AND(YEAR($A131)=2012,YEAR($A132)=2013),SUM($J$12:$J131,$J132*(Y$8-$A131)/($A132-$A131)),"")))</f>
        <v/>
      </c>
    </row>
    <row r="131" spans="1:36" x14ac:dyDescent="0.2">
      <c r="A131" s="309" t="str">
        <f t="shared" si="3"/>
        <v/>
      </c>
      <c r="B131" s="168" t="str">
        <f>IF($E$5*$E$7&lt;119," ",119)</f>
        <v xml:space="preserve"> </v>
      </c>
      <c r="C131" s="201" t="str">
        <f>IF(AND(B129=" ",B130=" ",B131=" ")," ",IF(B130=" ",SUM(C$13:C129),IF(B131=" "," ",D131+E131)))</f>
        <v xml:space="preserve"> </v>
      </c>
      <c r="D131" s="201" t="str">
        <f>IF(AND(B129=" ",B130=" ",B131=" ")," ",IF(B130=" ",SUM(D$13:D129),IF(B131=" "," ",ROUND(F130*E$6/E$7,2))))</f>
        <v xml:space="preserve"> </v>
      </c>
      <c r="E131" s="201" t="str">
        <f>IF(AND(B129=" ",B130=" ",B131=" ")," ",IF(B130=" ",SUM(E$13:E129),IF(B131=" "," ",E$8)))</f>
        <v xml:space="preserve"> </v>
      </c>
      <c r="F131" s="201" t="str">
        <f>IF(AND(B129=" ",B130=" ",B131=" ")," ",IF(B130=" ",SUM(F$12:F128),IF(B131=" "," ",F130-E131)))</f>
        <v xml:space="preserve"> </v>
      </c>
      <c r="G131" s="201" t="str">
        <f>IF(AND(B129=" ",B130=" ",B131=" ")," ",IF(B130=" ",SUM(G$12:G129),IF(B132=" ",IF(E$5*E$7=B131,C131-C$7+C$8+G$10," "),C131)))</f>
        <v xml:space="preserve"> </v>
      </c>
      <c r="H131" s="204" t="str">
        <f>IF(AND(B129=" ",B130=" ",B131=" ")," ",IF(B130=" ",SUM(H$13:H129)*E$7,IF(B131=" "," ",IF(B132=" ",IF(E$5*E$7=B131,IRR(G$12:G131,0.01)," ")," "))))</f>
        <v xml:space="preserve"> </v>
      </c>
      <c r="I131" s="202" t="str">
        <f t="shared" si="4"/>
        <v/>
      </c>
      <c r="J131" s="202" t="str">
        <f t="shared" si="5"/>
        <v/>
      </c>
      <c r="K131" s="55"/>
      <c r="L131" s="56"/>
      <c r="O131" s="67"/>
      <c r="P131" s="67" t="str">
        <f>IF($A132="","",IF($A133="",IF(YEAR($A132)=2003,SUM($D$12:$D132),""),IF(AND(YEAR($A132)=2003,YEAR($A133)=2004),SUM($D$12:$D132,$D133*(P$8-$A132)/($A133-$A132)),"")))</f>
        <v/>
      </c>
      <c r="Q131" s="67" t="str">
        <f>IF(A132="","",IF(A133="",IF(YEAR(A132)=2004,SUM(D$12:D132),""),IF(AND(YEAR(A132)=2004,YEAR(A133)=2005),SUM(D$12:D132,D133*(Q$8-A132)/(A133-A132)),"")))</f>
        <v/>
      </c>
      <c r="R131" s="67" t="str">
        <f>IF(A132="","",IF(A133="",IF(YEAR(A132)=2005,SUM(D$12:D132),""),IF(AND(YEAR(A132)=2005,YEAR(A133)=2006),SUM(D$12:D132,D133*(R$8-A132)/(A133-A132)),"")))</f>
        <v/>
      </c>
      <c r="S131" s="67" t="str">
        <f>IF(A132="","",IF(A133="",IF(YEAR(A132)=2006,SUM(D$12:D132),""),IF(AND(YEAR(A132)=2006,YEAR(A133)=2007),SUM(D$12:D132,D133*(S$8-A132)/(A133-A132)),"")))</f>
        <v/>
      </c>
      <c r="T131" s="67" t="str">
        <f>IF(A132="","",IF(A133="",IF(YEAR(A132)=2007,SUM(D$12:D132),""),IF(AND(YEAR(A132)=2007,YEAR(A133)=2008),SUM(D$12:D132,D133*(T$8-A132)/(A133-A132)),"")))</f>
        <v/>
      </c>
      <c r="U131" s="67" t="str">
        <f>IF(A132="","",IF(A133="",IF(YEAR(A132)=2008,SUM(D$12:D132),""),IF(AND(YEAR(A132)=2008,YEAR(A133)=2009),SUM(D$12:D132,D133*(U$8-A132)/(A133-A132)),"")))</f>
        <v/>
      </c>
      <c r="V131" s="67" t="str">
        <f>IF(A132="","",IF(A133="",IF(YEAR(A132)=2009,SUM(D$12:D132),""),IF(AND(YEAR(A132)=2009,YEAR(A133)=2010),SUM(D$12:D132,D133*(V$8-A132)/(A133-A132)),"")))</f>
        <v/>
      </c>
      <c r="W131" s="67" t="str">
        <f>IF(A132="","",IF(A133="",IF(YEAR(A132)=2010,SUM(D$12:D132),""),IF(AND(YEAR(A132)=2010,YEAR(A133)=2011),SUM(D$12:D132,D133*(W$8-A132)/(A133-A132)),"")))</f>
        <v/>
      </c>
      <c r="X131" s="67" t="str">
        <f>IF(A132="","",IF(A133="",IF(YEAR(A132)=2011,SUM(D$12:D132),""),IF(AND(YEAR(A132)=2011,YEAR(A133)=2012),SUM(D$12:D132,D133*(X$8-A132)/(A133-A132)),"")))</f>
        <v/>
      </c>
      <c r="Y131" s="72" t="str">
        <f>IF(A132="","",IF(A133="",IF(YEAR(A132)=2012,SUM(D$12:D132),""),IF(AND(YEAR(A132)=2012,YEAR(A133)=2013),SUM(D$12:D132,D133*(Y$8-A132)/(A133-A132)),"")))</f>
        <v/>
      </c>
      <c r="Z131" s="67" t="str">
        <f>IF($A132="","",IF($A133="",IF(YEAR($A132)=2002,SUM($J$12:$J132),""),IF(AND(YEAR($A132)=2002,YEAR($A133)=2003),SUM($J$12:$J132,$J133*(O$8-$A132)/($A133-$A132)),"")))</f>
        <v/>
      </c>
      <c r="AA131" s="67" t="str">
        <f>IF($A132="","",IF($A133="",IF(YEAR($A132)=2003,SUM($J$12:$J132),""),IF(AND(YEAR($A132)=2003,YEAR($A133)=2004),SUM($J$12:$J132,$J133*(P$8-$A132)/($A133-$A132)),"")))</f>
        <v/>
      </c>
      <c r="AB131" s="67" t="str">
        <f>IF($A132="","",IF($A133="",IF(YEAR($A132)=2004,SUM($J$12:$J132),""),IF(AND(YEAR($A132)=2004,YEAR($A133)=2005),SUM($J$12:$J132,$J133*(Q$8-$A132)/($A133-$A132)),"")))</f>
        <v/>
      </c>
      <c r="AC131" s="67" t="str">
        <f>IF($A132="","",IF($A133="",IF(YEAR($A132)=2005,SUM($J$12:$J132),""),IF(AND(YEAR($A132)=2005,YEAR($A133)=2006),SUM($J$12:$J132,$J133*(R$8-$A132)/($A133-$A132)),"")))</f>
        <v/>
      </c>
      <c r="AD131" s="67" t="str">
        <f>IF($A132="","",IF($A133="",IF(YEAR($A132)=2006,SUM($J$12:$J132),""),IF(AND(YEAR($A132)=2006,YEAR($A133)=2007),SUM($J$12:$J132,$J133*(S$8-$A132)/($A133-$A132)),"")))</f>
        <v/>
      </c>
      <c r="AE131" s="67" t="str">
        <f>IF($A132="","",IF($A133="",IF(YEAR($A132)=2007,SUM($J$12:$J132),""),IF(AND(YEAR($A132)=2007,YEAR($A133)=2008),SUM($J$12:$J132,$J133*(T$8-$A132)/($A133-$A132)),"")))</f>
        <v/>
      </c>
      <c r="AF131" s="67" t="str">
        <f>IF($A132="","",IF($A133="",IF(YEAR($A132)=2008,SUM($J$12:$J132),""),IF(AND(YEAR($A132)=2008,YEAR($A133)=2009),SUM($J$12:$J132,$J133*(U$8-$A132)/($A133-$A132)),"")))</f>
        <v/>
      </c>
      <c r="AG131" s="67" t="str">
        <f>IF($A132="","",IF($A133="",IF(YEAR($A132)=2009,SUM($J$12:$J132),""),IF(AND(YEAR($A132)=2009,YEAR($A133)=2010),SUM($J$12:$J132,$J133*(V$8-$A132)/($A133-$A132)),"")))</f>
        <v/>
      </c>
      <c r="AH131" s="67" t="str">
        <f>IF($A132="","",IF($A133="",IF(YEAR($A132)=2010,SUM($J$12:$J132),""),IF(AND(YEAR($A132)=2010,YEAR($A133)=2011),SUM($J$12:$J132,$J133*(W$8-$A132)/($A133-$A132)),"")))</f>
        <v/>
      </c>
      <c r="AI131" s="67" t="str">
        <f>IF($A132="","",IF($A133="",IF(YEAR($A132)=2011,SUM($J$12:$J132),""),IF(AND(YEAR($A132)=2011,YEAR($A133)=2012),SUM($J$12:$J132,$J133*(X$8-$A132)/($A133-$A132)),"")))</f>
        <v/>
      </c>
      <c r="AJ131" s="67" t="str">
        <f>IF($A132="","",IF($A133="",IF(YEAR($A132)=2012,SUM($J$12:$J132),""),IF(AND(YEAR($A132)=2012,YEAR($A133)=2013),SUM($J$12:$J132,$J133*(Y$8-$A132)/($A133-$A132)),"")))</f>
        <v/>
      </c>
    </row>
    <row r="132" spans="1:36" x14ac:dyDescent="0.2">
      <c r="A132" s="309" t="str">
        <f t="shared" si="3"/>
        <v/>
      </c>
      <c r="B132" s="168" t="str">
        <f>IF($E$5*$E$7&lt;120," ",120)</f>
        <v xml:space="preserve"> </v>
      </c>
      <c r="C132" s="201" t="str">
        <f>IF(AND(B130=" ",B131=" ",B132=" ")," ",IF(B131=" ",SUM(C$13:C130),IF(B132=" "," ",D132+E132)))</f>
        <v xml:space="preserve"> </v>
      </c>
      <c r="D132" s="201" t="str">
        <f>IF(AND(B130=" ",B131=" ",B132=" ")," ",IF(B131=" ",SUM(D$13:D130),IF(B132=" "," ",ROUND(F131*E$6/E$7,2))))</f>
        <v xml:space="preserve"> </v>
      </c>
      <c r="E132" s="201" t="str">
        <f>IF(AND(B130=" ",B131=" ",B132=" ")," ",IF(B131=" ",SUM(E$13:E130),IF(B132=" "," ",E$8)))</f>
        <v xml:space="preserve"> </v>
      </c>
      <c r="F132" s="201" t="str">
        <f>IF(AND(B130=" ",B131=" ",B132=" ")," ",IF(B131=" ",SUM(F$12:F129),IF(B132=" "," ",F131-E132)))</f>
        <v xml:space="preserve"> </v>
      </c>
      <c r="G132" s="201" t="str">
        <f>IF(AND(B130=" ",B131=" ",B132=" ")," ",IF(B131=" ",SUM(G$12:G130),IF(B133=" ",IF(E$5*E$7=B132,C132-C$7+C$8+G$10," "),C132)))</f>
        <v xml:space="preserve"> </v>
      </c>
      <c r="H132" s="204" t="str">
        <f>IF(AND(B130=" ",B131=" ",B132=" ")," ",IF(B131=" ",SUM(H$13:H130)*E$7,IF(B132=" "," ",IF(B133=" ",IF(E$5*E$7=B132,IRR(G$12:G132,0.01)," ")," "))))</f>
        <v xml:space="preserve"> </v>
      </c>
      <c r="I132" s="202" t="str">
        <f t="shared" si="4"/>
        <v/>
      </c>
      <c r="J132" s="202" t="str">
        <f t="shared" si="5"/>
        <v/>
      </c>
      <c r="K132" s="55"/>
      <c r="L132" s="56"/>
      <c r="O132" s="67"/>
      <c r="P132" s="67" t="str">
        <f>IF($A133="","",IF($A134="",IF(YEAR($A133)=2003,SUM($D$12:$D133),""),IF(AND(YEAR($A133)=2003,YEAR($A134)=2004),SUM($D$12:$D133,$D134*(P$8-$A133)/($A134-$A133)),"")))</f>
        <v/>
      </c>
      <c r="Q132" s="67" t="str">
        <f>IF(A133="","",IF(A134="",IF(YEAR(A133)=2004,SUM(D$12:D133),""),IF(AND(YEAR(A133)=2004,YEAR(A134)=2005),SUM(D$12:D133,D134*(Q$8-A133)/(A134-A133)),"")))</f>
        <v/>
      </c>
      <c r="R132" s="67" t="str">
        <f>IF(A133="","",IF(A134="",IF(YEAR(A133)=2005,SUM(D$12:D133),""),IF(AND(YEAR(A133)=2005,YEAR(A134)=2006),SUM(D$12:D133,D134*(R$8-A133)/(A134-A133)),"")))</f>
        <v/>
      </c>
      <c r="S132" s="67" t="str">
        <f>IF(A133="","",IF(A134="",IF(YEAR(A133)=2006,SUM(D$12:D133),""),IF(AND(YEAR(A133)=2006,YEAR(A134)=2007),SUM(D$12:D133,D134*(S$8-A133)/(A134-A133)),"")))</f>
        <v/>
      </c>
      <c r="T132" s="67" t="str">
        <f>IF(A133="","",IF(A134="",IF(YEAR(A133)=2007,SUM(D$12:D133),""),IF(AND(YEAR(A133)=2007,YEAR(A134)=2008),SUM(D$12:D133,D134*(T$8-A133)/(A134-A133)),"")))</f>
        <v/>
      </c>
      <c r="U132" s="67" t="str">
        <f>IF(A133="","",IF(A134="",IF(YEAR(A133)=2008,SUM(D$12:D133),""),IF(AND(YEAR(A133)=2008,YEAR(A134)=2009),SUM(D$12:D133,D134*(U$8-A133)/(A134-A133)),"")))</f>
        <v/>
      </c>
      <c r="V132" s="67" t="str">
        <f>IF(A133="","",IF(A134="",IF(YEAR(A133)=2009,SUM(D$12:D133),""),IF(AND(YEAR(A133)=2009,YEAR(A134)=2010),SUM(D$12:D133,D134*(V$8-A133)/(A134-A133)),"")))</f>
        <v/>
      </c>
      <c r="W132" s="67" t="str">
        <f>IF(A133="","",IF(A134="",IF(YEAR(A133)=2010,SUM(D$12:D133),""),IF(AND(YEAR(A133)=2010,YEAR(A134)=2011),SUM(D$12:D133,D134*(W$8-A133)/(A134-A133)),"")))</f>
        <v/>
      </c>
      <c r="X132" s="67" t="str">
        <f>IF(A133="","",IF(A134="",IF(YEAR(A133)=2011,SUM(D$12:D133),""),IF(AND(YEAR(A133)=2011,YEAR(A134)=2012),SUM(D$12:D133,D134*(X$8-A133)/(A134-A133)),"")))</f>
        <v/>
      </c>
      <c r="Y132" s="72" t="str">
        <f>IF(A133="","",IF(A134="",IF(YEAR(A133)=2012,SUM(D$12:D133),""),IF(AND(YEAR(A133)=2012,YEAR(A134)=2013),SUM(D$12:D133,D134*(Y$8-A133)/(A134-A133)),"")))</f>
        <v/>
      </c>
      <c r="Z132" s="67" t="str">
        <f>IF($A133="","",IF($A134="",IF(YEAR($A133)=2002,SUM($J$12:$J133),""),IF(AND(YEAR($A133)=2002,YEAR($A134)=2003),SUM($J$12:$J133,$J134*(O$8-$A133)/($A134-$A133)),"")))</f>
        <v/>
      </c>
      <c r="AA132" s="67" t="str">
        <f>IF($A133="","",IF($A134="",IF(YEAR($A133)=2003,SUM($J$12:$J133),""),IF(AND(YEAR($A133)=2003,YEAR($A134)=2004),SUM($J$12:$J133,$J134*(P$8-$A133)/($A134-$A133)),"")))</f>
        <v/>
      </c>
      <c r="AB132" s="67" t="str">
        <f>IF($A133="","",IF($A134="",IF(YEAR($A133)=2004,SUM($J$12:$J133),""),IF(AND(YEAR($A133)=2004,YEAR($A134)=2005),SUM($J$12:$J133,$J134*(Q$8-$A133)/($A134-$A133)),"")))</f>
        <v/>
      </c>
      <c r="AC132" s="67" t="str">
        <f>IF($A133="","",IF($A134="",IF(YEAR($A133)=2005,SUM($J$12:$J133),""),IF(AND(YEAR($A133)=2005,YEAR($A134)=2006),SUM($J$12:$J133,$J134*(R$8-$A133)/($A134-$A133)),"")))</f>
        <v/>
      </c>
      <c r="AD132" s="67" t="str">
        <f>IF($A133="","",IF($A134="",IF(YEAR($A133)=2006,SUM($J$12:$J133),""),IF(AND(YEAR($A133)=2006,YEAR($A134)=2007),SUM($J$12:$J133,$J134*(S$8-$A133)/($A134-$A133)),"")))</f>
        <v/>
      </c>
      <c r="AE132" s="67" t="str">
        <f>IF($A133="","",IF($A134="",IF(YEAR($A133)=2007,SUM($J$12:$J133),""),IF(AND(YEAR($A133)=2007,YEAR($A134)=2008),SUM($J$12:$J133,$J134*(T$8-$A133)/($A134-$A133)),"")))</f>
        <v/>
      </c>
      <c r="AF132" s="67" t="str">
        <f>IF($A133="","",IF($A134="",IF(YEAR($A133)=2008,SUM($J$12:$J133),""),IF(AND(YEAR($A133)=2008,YEAR($A134)=2009),SUM($J$12:$J133,$J134*(U$8-$A133)/($A134-$A133)),"")))</f>
        <v/>
      </c>
      <c r="AG132" s="67" t="str">
        <f>IF($A133="","",IF($A134="",IF(YEAR($A133)=2009,SUM($J$12:$J133),""),IF(AND(YEAR($A133)=2009,YEAR($A134)=2010),SUM($J$12:$J133,$J134*(V$8-$A133)/($A134-$A133)),"")))</f>
        <v/>
      </c>
      <c r="AH132" s="67" t="str">
        <f>IF($A133="","",IF($A134="",IF(YEAR($A133)=2010,SUM($J$12:$J133),""),IF(AND(YEAR($A133)=2010,YEAR($A134)=2011),SUM($J$12:$J133,$J134*(W$8-$A133)/($A134-$A133)),"")))</f>
        <v/>
      </c>
      <c r="AI132" s="67" t="str">
        <f>IF($A133="","",IF($A134="",IF(YEAR($A133)=2011,SUM($J$12:$J133),""),IF(AND(YEAR($A133)=2011,YEAR($A134)=2012),SUM($J$12:$J133,$J134*(X$8-$A133)/($A134-$A133)),"")))</f>
        <v/>
      </c>
      <c r="AJ132" s="67" t="str">
        <f>IF($A133="","",IF($A134="",IF(YEAR($A133)=2012,SUM($J$12:$J133),""),IF(AND(YEAR($A133)=2012,YEAR($A134)=2013),SUM($J$12:$J133,$J134*(Y$8-$A133)/($A134-$A133)),"")))</f>
        <v/>
      </c>
    </row>
    <row r="133" spans="1:36" x14ac:dyDescent="0.2">
      <c r="A133" s="309" t="str">
        <f t="shared" si="3"/>
        <v/>
      </c>
      <c r="B133" s="168" t="str">
        <f>IF($E$5*$E$7&lt;121," ",121)</f>
        <v xml:space="preserve"> </v>
      </c>
      <c r="C133" s="201" t="str">
        <f>IF(AND(B131=" ",B132=" ",B133=" ")," ",IF(B132=" ",SUM(C$13:C131),IF(B133=" "," ",D133+E133)))</f>
        <v xml:space="preserve"> </v>
      </c>
      <c r="D133" s="201" t="str">
        <f>IF(AND(B131=" ",B132=" ",B133=" ")," ",IF(B132=" ",SUM(D$13:D131),IF(B133=" "," ",ROUND(F132*E$6/E$7,2))))</f>
        <v xml:space="preserve"> </v>
      </c>
      <c r="E133" s="201" t="str">
        <f>IF(AND(B131=" ",B132=" ",B133=" ")," ",IF(B132=" ",SUM(E$13:E131),IF(B133=" "," ",E$8)))</f>
        <v xml:space="preserve"> </v>
      </c>
      <c r="F133" s="201" t="str">
        <f>IF(AND(B131=" ",B132=" ",B133=" ")," ",IF(B132=" ",SUM(F$12:F130),IF(B133=" "," ",F132-E133)))</f>
        <v xml:space="preserve"> </v>
      </c>
      <c r="G133" s="201" t="str">
        <f>IF(AND(B131=" ",B132=" ",B133=" ")," ",IF(B132=" ",SUM(G$12:G131),IF(B134=" ",IF(E$5*E$7=B133,C133-C$7+C$8+G$10," "),C133)))</f>
        <v xml:space="preserve"> </v>
      </c>
      <c r="H133" s="204" t="str">
        <f>IF(AND(B131=" ",B132=" ",B133=" ")," ",IF(B132=" ",SUM(H$13:H131)*E$7,IF(B133=" "," ",IF(B134=" ",IF(E$5*E$7=B133,IRR(G$12:G133,0.01)," ")," "))))</f>
        <v xml:space="preserve"> </v>
      </c>
      <c r="I133" s="202" t="str">
        <f t="shared" si="4"/>
        <v/>
      </c>
      <c r="J133" s="202" t="str">
        <f t="shared" si="5"/>
        <v/>
      </c>
      <c r="K133" s="55"/>
      <c r="L133" s="56"/>
      <c r="O133" s="67"/>
      <c r="P133" s="67" t="str">
        <f>IF($A134="","",IF($A135="",IF(YEAR($A134)=2003,SUM($D$12:$D134),""),IF(AND(YEAR($A134)=2003,YEAR($A135)=2004),SUM($D$12:$D134,$D135*(P$8-$A134)/($A135-$A134)),"")))</f>
        <v/>
      </c>
      <c r="Q133" s="67" t="str">
        <f>IF(A134="","",IF(A135="",IF(YEAR(A134)=2004,SUM(D$12:D134),""),IF(AND(YEAR(A134)=2004,YEAR(A135)=2005),SUM(D$12:D134,D135*(Q$8-A134)/(A135-A134)),"")))</f>
        <v/>
      </c>
      <c r="R133" s="67" t="str">
        <f>IF(A134="","",IF(A135="",IF(YEAR(A134)=2005,SUM(D$12:D134),""),IF(AND(YEAR(A134)=2005,YEAR(A135)=2006),SUM(D$12:D134,D135*(R$8-A134)/(A135-A134)),"")))</f>
        <v/>
      </c>
      <c r="S133" s="67" t="str">
        <f>IF(A134="","",IF(A135="",IF(YEAR(A134)=2006,SUM(D$12:D134),""),IF(AND(YEAR(A134)=2006,YEAR(A135)=2007),SUM(D$12:D134,D135*(S$8-A134)/(A135-A134)),"")))</f>
        <v/>
      </c>
      <c r="T133" s="67" t="str">
        <f>IF(A134="","",IF(A135="",IF(YEAR(A134)=2007,SUM(D$12:D134),""),IF(AND(YEAR(A134)=2007,YEAR(A135)=2008),SUM(D$12:D134,D135*(T$8-A134)/(A135-A134)),"")))</f>
        <v/>
      </c>
      <c r="U133" s="67" t="str">
        <f>IF(A134="","",IF(A135="",IF(YEAR(A134)=2008,SUM(D$12:D134),""),IF(AND(YEAR(A134)=2008,YEAR(A135)=2009),SUM(D$12:D134,D135*(U$8-A134)/(A135-A134)),"")))</f>
        <v/>
      </c>
      <c r="V133" s="67" t="str">
        <f>IF(A134="","",IF(A135="",IF(YEAR(A134)=2009,SUM(D$12:D134),""),IF(AND(YEAR(A134)=2009,YEAR(A135)=2010),SUM(D$12:D134,D135*(V$8-A134)/(A135-A134)),"")))</f>
        <v/>
      </c>
      <c r="W133" s="67" t="str">
        <f>IF(A134="","",IF(A135="",IF(YEAR(A134)=2010,SUM(D$12:D134),""),IF(AND(YEAR(A134)=2010,YEAR(A135)=2011),SUM(D$12:D134,D135*(W$8-A134)/(A135-A134)),"")))</f>
        <v/>
      </c>
      <c r="X133" s="67" t="str">
        <f>IF(A134="","",IF(A135="",IF(YEAR(A134)=2011,SUM(D$12:D134),""),IF(AND(YEAR(A134)=2011,YEAR(A135)=2012),SUM(D$12:D134,D135*(X$8-A134)/(A135-A134)),"")))</f>
        <v/>
      </c>
      <c r="Y133" s="72" t="str">
        <f>IF(A134="","",IF(A135="",IF(YEAR(A134)=2012,SUM(D$12:D134),""),IF(AND(YEAR(A134)=2012,YEAR(A135)=2013),SUM(D$12:D134,D135*(Y$8-A134)/(A135-A134)),"")))</f>
        <v/>
      </c>
      <c r="Z133" s="67" t="str">
        <f>IF($A134="","",IF($A135="",IF(YEAR($A134)=2002,SUM($J$12:$J134),""),IF(AND(YEAR($A134)=2002,YEAR($A135)=2003),SUM($J$12:$J134,$J135*(O$8-$A134)/($A135-$A134)),"")))</f>
        <v/>
      </c>
      <c r="AA133" s="67" t="str">
        <f>IF($A134="","",IF($A135="",IF(YEAR($A134)=2003,SUM($J$12:$J134),""),IF(AND(YEAR($A134)=2003,YEAR($A135)=2004),SUM($J$12:$J134,$J135*(P$8-$A134)/($A135-$A134)),"")))</f>
        <v/>
      </c>
      <c r="AB133" s="67" t="str">
        <f>IF($A134="","",IF($A135="",IF(YEAR($A134)=2004,SUM($J$12:$J134),""),IF(AND(YEAR($A134)=2004,YEAR($A135)=2005),SUM($J$12:$J134,$J135*(Q$8-$A134)/($A135-$A134)),"")))</f>
        <v/>
      </c>
      <c r="AC133" s="67" t="str">
        <f>IF($A134="","",IF($A135="",IF(YEAR($A134)=2005,SUM($J$12:$J134),""),IF(AND(YEAR($A134)=2005,YEAR($A135)=2006),SUM($J$12:$J134,$J135*(R$8-$A134)/($A135-$A134)),"")))</f>
        <v/>
      </c>
      <c r="AD133" s="67" t="str">
        <f>IF($A134="","",IF($A135="",IF(YEAR($A134)=2006,SUM($J$12:$J134),""),IF(AND(YEAR($A134)=2006,YEAR($A135)=2007),SUM($J$12:$J134,$J135*(S$8-$A134)/($A135-$A134)),"")))</f>
        <v/>
      </c>
      <c r="AE133" s="67" t="str">
        <f>IF($A134="","",IF($A135="",IF(YEAR($A134)=2007,SUM($J$12:$J134),""),IF(AND(YEAR($A134)=2007,YEAR($A135)=2008),SUM($J$12:$J134,$J135*(T$8-$A134)/($A135-$A134)),"")))</f>
        <v/>
      </c>
      <c r="AF133" s="67" t="str">
        <f>IF($A134="","",IF($A135="",IF(YEAR($A134)=2008,SUM($J$12:$J134),""),IF(AND(YEAR($A134)=2008,YEAR($A135)=2009),SUM($J$12:$J134,$J135*(U$8-$A134)/($A135-$A134)),"")))</f>
        <v/>
      </c>
      <c r="AG133" s="67" t="str">
        <f>IF($A134="","",IF($A135="",IF(YEAR($A134)=2009,SUM($J$12:$J134),""),IF(AND(YEAR($A134)=2009,YEAR($A135)=2010),SUM($J$12:$J134,$J135*(V$8-$A134)/($A135-$A134)),"")))</f>
        <v/>
      </c>
      <c r="AH133" s="67" t="str">
        <f>IF($A134="","",IF($A135="",IF(YEAR($A134)=2010,SUM($J$12:$J134),""),IF(AND(YEAR($A134)=2010,YEAR($A135)=2011),SUM($J$12:$J134,$J135*(W$8-$A134)/($A135-$A134)),"")))</f>
        <v/>
      </c>
      <c r="AI133" s="67" t="str">
        <f>IF($A134="","",IF($A135="",IF(YEAR($A134)=2011,SUM($J$12:$J134),""),IF(AND(YEAR($A134)=2011,YEAR($A135)=2012),SUM($J$12:$J134,$J135*(X$8-$A134)/($A135-$A134)),"")))</f>
        <v/>
      </c>
      <c r="AJ133" s="67" t="str">
        <f>IF($A134="","",IF($A135="",IF(YEAR($A134)=2012,SUM($J$12:$J134),""),IF(AND(YEAR($A134)=2012,YEAR($A135)=2013),SUM($J$12:$J134,$J135*(Y$8-$A134)/($A135-$A134)),"")))</f>
        <v/>
      </c>
    </row>
    <row r="134" spans="1:36" x14ac:dyDescent="0.2">
      <c r="A134" s="309" t="str">
        <f t="shared" si="3"/>
        <v/>
      </c>
      <c r="B134" s="168" t="str">
        <f>IF($E$5*$E$7&lt;122," ",122)</f>
        <v xml:space="preserve"> </v>
      </c>
      <c r="C134" s="201" t="str">
        <f>IF(AND(B132=" ",B133=" ",B134=" ")," ",IF(B133=" ",SUM(C$13:C132),IF(B134=" "," ",D134+E134)))</f>
        <v xml:space="preserve"> </v>
      </c>
      <c r="D134" s="201" t="str">
        <f>IF(AND(B132=" ",B133=" ",B134=" ")," ",IF(B133=" ",SUM(D$13:D132),IF(B134=" "," ",ROUND(F133*E$6/E$7,2))))</f>
        <v xml:space="preserve"> </v>
      </c>
      <c r="E134" s="201" t="str">
        <f>IF(AND(B132=" ",B133=" ",B134=" ")," ",IF(B133=" ",SUM(E$13:E132),IF(B134=" "," ",E$8)))</f>
        <v xml:space="preserve"> </v>
      </c>
      <c r="F134" s="201" t="str">
        <f>IF(AND(B132=" ",B133=" ",B134=" ")," ",IF(B133=" ",SUM(F$12:F131),IF(B134=" "," ",F133-E134)))</f>
        <v xml:space="preserve"> </v>
      </c>
      <c r="G134" s="201" t="str">
        <f>IF(AND(B132=" ",B133=" ",B134=" ")," ",IF(B133=" ",SUM(G$12:G132),IF(B135=" ",IF(E$5*E$7=B134,C134-C$7+C$8+G$10," "),C134)))</f>
        <v xml:space="preserve"> </v>
      </c>
      <c r="H134" s="204" t="str">
        <f>IF(AND(B132=" ",B133=" ",B134=" ")," ",IF(B133=" ",SUM(H$13:H132)*E$7,IF(B134=" "," ",IF(B135=" ",IF(E$5*E$7=B134,IRR(G$12:G134,0.01)," ")," "))))</f>
        <v xml:space="preserve"> </v>
      </c>
      <c r="I134" s="202"/>
      <c r="J134" s="202" t="str">
        <f t="shared" si="5"/>
        <v/>
      </c>
    </row>
    <row r="135" spans="1:36" x14ac:dyDescent="0.2">
      <c r="AJ135" s="73"/>
    </row>
    <row r="136" spans="1:36" x14ac:dyDescent="0.2">
      <c r="AJ136" s="73"/>
    </row>
    <row r="137" spans="1:36" x14ac:dyDescent="0.2">
      <c r="AJ137" s="73"/>
    </row>
    <row r="138" spans="1:36" x14ac:dyDescent="0.2">
      <c r="AJ138" s="73"/>
    </row>
    <row r="139" spans="1:36" x14ac:dyDescent="0.2">
      <c r="AJ139" s="73"/>
    </row>
    <row r="140" spans="1:36" x14ac:dyDescent="0.2">
      <c r="AJ140" s="73"/>
    </row>
    <row r="141" spans="1:36" x14ac:dyDescent="0.2">
      <c r="AJ141" s="73"/>
    </row>
    <row r="142" spans="1:36" x14ac:dyDescent="0.2">
      <c r="AJ142" s="73"/>
    </row>
    <row r="143" spans="1:36" x14ac:dyDescent="0.2">
      <c r="AJ143" s="73"/>
    </row>
    <row r="144" spans="1:36" x14ac:dyDescent="0.2">
      <c r="AJ144" s="73"/>
    </row>
    <row r="145" spans="36:36" x14ac:dyDescent="0.2">
      <c r="AJ145" s="73"/>
    </row>
    <row r="146" spans="36:36" x14ac:dyDescent="0.2">
      <c r="AJ146" s="73"/>
    </row>
    <row r="147" spans="36:36" x14ac:dyDescent="0.2">
      <c r="AJ147" s="73"/>
    </row>
    <row r="148" spans="36:36" x14ac:dyDescent="0.2">
      <c r="AJ148" s="73"/>
    </row>
    <row r="149" spans="36:36" x14ac:dyDescent="0.2">
      <c r="AJ149" s="73"/>
    </row>
    <row r="150" spans="36:36" x14ac:dyDescent="0.2">
      <c r="AJ150" s="73"/>
    </row>
    <row r="151" spans="36:36" x14ac:dyDescent="0.2">
      <c r="AJ151" s="73"/>
    </row>
    <row r="152" spans="36:36" x14ac:dyDescent="0.2">
      <c r="AJ152" s="73"/>
    </row>
    <row r="153" spans="36:36" x14ac:dyDescent="0.2">
      <c r="AJ153" s="73"/>
    </row>
    <row r="154" spans="36:36" x14ac:dyDescent="0.2">
      <c r="AJ154" s="73"/>
    </row>
    <row r="155" spans="36:36" x14ac:dyDescent="0.2">
      <c r="AJ155" s="73"/>
    </row>
    <row r="156" spans="36:36" x14ac:dyDescent="0.2">
      <c r="AJ156" s="73"/>
    </row>
    <row r="157" spans="36:36" x14ac:dyDescent="0.2">
      <c r="AJ157" s="73"/>
    </row>
    <row r="158" spans="36:36" x14ac:dyDescent="0.2">
      <c r="AJ158" s="73"/>
    </row>
    <row r="159" spans="36:36" x14ac:dyDescent="0.2">
      <c r="AJ159" s="73"/>
    </row>
    <row r="160" spans="36:36" x14ac:dyDescent="0.2">
      <c r="AJ160" s="73"/>
    </row>
    <row r="161" spans="36:36" x14ac:dyDescent="0.2">
      <c r="AJ161" s="73"/>
    </row>
    <row r="162" spans="36:36" x14ac:dyDescent="0.2">
      <c r="AJ162" s="73"/>
    </row>
    <row r="163" spans="36:36" x14ac:dyDescent="0.2">
      <c r="AJ163" s="73"/>
    </row>
    <row r="164" spans="36:36" x14ac:dyDescent="0.2">
      <c r="AJ164" s="73"/>
    </row>
    <row r="165" spans="36:36" x14ac:dyDescent="0.2">
      <c r="AJ165" s="73"/>
    </row>
    <row r="166" spans="36:36" x14ac:dyDescent="0.2">
      <c r="AJ166" s="73"/>
    </row>
    <row r="167" spans="36:36" x14ac:dyDescent="0.2">
      <c r="AJ167" s="73"/>
    </row>
    <row r="168" spans="36:36" x14ac:dyDescent="0.2">
      <c r="AJ168" s="73"/>
    </row>
    <row r="169" spans="36:36" x14ac:dyDescent="0.2">
      <c r="AJ169" s="73"/>
    </row>
    <row r="170" spans="36:36" x14ac:dyDescent="0.2">
      <c r="AJ170" s="73"/>
    </row>
    <row r="171" spans="36:36" x14ac:dyDescent="0.2">
      <c r="AJ171" s="73"/>
    </row>
    <row r="172" spans="36:36" x14ac:dyDescent="0.2">
      <c r="AJ172" s="73"/>
    </row>
    <row r="173" spans="36:36" x14ac:dyDescent="0.2">
      <c r="AJ173" s="73"/>
    </row>
    <row r="174" spans="36:36" x14ac:dyDescent="0.2">
      <c r="AJ174" s="73"/>
    </row>
    <row r="175" spans="36:36" x14ac:dyDescent="0.2">
      <c r="AJ175" s="73"/>
    </row>
    <row r="176" spans="36:36" x14ac:dyDescent="0.2">
      <c r="AJ176" s="73"/>
    </row>
    <row r="177" spans="36:36" x14ac:dyDescent="0.2">
      <c r="AJ177" s="73"/>
    </row>
    <row r="178" spans="36:36" x14ac:dyDescent="0.2">
      <c r="AJ178" s="73"/>
    </row>
    <row r="179" spans="36:36" x14ac:dyDescent="0.2">
      <c r="AJ179" s="73"/>
    </row>
    <row r="180" spans="36:36" x14ac:dyDescent="0.2">
      <c r="AJ180" s="73"/>
    </row>
    <row r="181" spans="36:36" x14ac:dyDescent="0.2">
      <c r="AJ181" s="73"/>
    </row>
    <row r="182" spans="36:36" x14ac:dyDescent="0.2">
      <c r="AJ182" s="73"/>
    </row>
    <row r="183" spans="36:36" x14ac:dyDescent="0.2">
      <c r="AJ183" s="73"/>
    </row>
    <row r="184" spans="36:36" x14ac:dyDescent="0.2">
      <c r="AJ184" s="73"/>
    </row>
    <row r="185" spans="36:36" x14ac:dyDescent="0.2">
      <c r="AJ185" s="73"/>
    </row>
    <row r="186" spans="36:36" x14ac:dyDescent="0.2">
      <c r="AJ186" s="73"/>
    </row>
    <row r="187" spans="36:36" x14ac:dyDescent="0.2">
      <c r="AJ187" s="73"/>
    </row>
    <row r="188" spans="36:36" x14ac:dyDescent="0.2">
      <c r="AJ188" s="73"/>
    </row>
    <row r="189" spans="36:36" x14ac:dyDescent="0.2">
      <c r="AJ189" s="73"/>
    </row>
    <row r="190" spans="36:36" x14ac:dyDescent="0.2">
      <c r="AJ190" s="73"/>
    </row>
    <row r="191" spans="36:36" x14ac:dyDescent="0.2">
      <c r="AJ191" s="73"/>
    </row>
    <row r="192" spans="36:36" x14ac:dyDescent="0.2">
      <c r="AJ192" s="73"/>
    </row>
    <row r="193" spans="36:36" x14ac:dyDescent="0.2">
      <c r="AJ193" s="73"/>
    </row>
    <row r="194" spans="36:36" x14ac:dyDescent="0.2">
      <c r="AJ194" s="73"/>
    </row>
    <row r="195" spans="36:36" x14ac:dyDescent="0.2">
      <c r="AJ195" s="73"/>
    </row>
    <row r="196" spans="36:36" x14ac:dyDescent="0.2">
      <c r="AJ196" s="73"/>
    </row>
    <row r="197" spans="36:36" x14ac:dyDescent="0.2">
      <c r="AJ197" s="73"/>
    </row>
    <row r="198" spans="36:36" x14ac:dyDescent="0.2">
      <c r="AJ198" s="73"/>
    </row>
    <row r="199" spans="36:36" x14ac:dyDescent="0.2">
      <c r="AJ199" s="73"/>
    </row>
    <row r="200" spans="36:36" x14ac:dyDescent="0.2">
      <c r="AJ200" s="73"/>
    </row>
    <row r="201" spans="36:36" x14ac:dyDescent="0.2">
      <c r="AJ201" s="73"/>
    </row>
    <row r="202" spans="36:36" x14ac:dyDescent="0.2">
      <c r="AJ202" s="73"/>
    </row>
    <row r="203" spans="36:36" x14ac:dyDescent="0.2">
      <c r="AJ203" s="73"/>
    </row>
    <row r="204" spans="36:36" x14ac:dyDescent="0.2">
      <c r="AJ204" s="73"/>
    </row>
    <row r="205" spans="36:36" x14ac:dyDescent="0.2">
      <c r="AJ205" s="73"/>
    </row>
    <row r="206" spans="36:36" x14ac:dyDescent="0.2">
      <c r="AJ206" s="73"/>
    </row>
    <row r="207" spans="36:36" x14ac:dyDescent="0.2">
      <c r="AJ207" s="73"/>
    </row>
    <row r="208" spans="36:36" x14ac:dyDescent="0.2">
      <c r="AJ208" s="73"/>
    </row>
    <row r="209" spans="36:36" x14ac:dyDescent="0.2">
      <c r="AJ209" s="73"/>
    </row>
    <row r="210" spans="36:36" x14ac:dyDescent="0.2">
      <c r="AJ210" s="73"/>
    </row>
    <row r="211" spans="36:36" x14ac:dyDescent="0.2">
      <c r="AJ211" s="73"/>
    </row>
    <row r="212" spans="36:36" x14ac:dyDescent="0.2">
      <c r="AJ212" s="73"/>
    </row>
    <row r="213" spans="36:36" x14ac:dyDescent="0.2">
      <c r="AJ213" s="73"/>
    </row>
    <row r="214" spans="36:36" x14ac:dyDescent="0.2">
      <c r="AJ214" s="73"/>
    </row>
    <row r="215" spans="36:36" x14ac:dyDescent="0.2">
      <c r="AJ215" s="73"/>
    </row>
    <row r="216" spans="36:36" x14ac:dyDescent="0.2">
      <c r="AJ216" s="73"/>
    </row>
    <row r="217" spans="36:36" x14ac:dyDescent="0.2">
      <c r="AJ217" s="73"/>
    </row>
    <row r="218" spans="36:36" x14ac:dyDescent="0.2">
      <c r="AJ218" s="73"/>
    </row>
    <row r="219" spans="36:36" x14ac:dyDescent="0.2">
      <c r="AJ219" s="73"/>
    </row>
    <row r="220" spans="36:36" x14ac:dyDescent="0.2">
      <c r="AJ220" s="73"/>
    </row>
    <row r="221" spans="36:36" x14ac:dyDescent="0.2">
      <c r="AJ221" s="73"/>
    </row>
    <row r="222" spans="36:36" x14ac:dyDescent="0.2">
      <c r="AJ222" s="73"/>
    </row>
    <row r="223" spans="36:36" x14ac:dyDescent="0.2">
      <c r="AJ223" s="73"/>
    </row>
    <row r="224" spans="36:36" x14ac:dyDescent="0.2">
      <c r="AJ224" s="73"/>
    </row>
    <row r="225" spans="36:36" x14ac:dyDescent="0.2">
      <c r="AJ225" s="73"/>
    </row>
    <row r="226" spans="36:36" x14ac:dyDescent="0.2">
      <c r="AJ226" s="73"/>
    </row>
    <row r="227" spans="36:36" x14ac:dyDescent="0.2">
      <c r="AJ227" s="73"/>
    </row>
    <row r="228" spans="36:36" x14ac:dyDescent="0.2">
      <c r="AJ228" s="73"/>
    </row>
    <row r="229" spans="36:36" x14ac:dyDescent="0.2">
      <c r="AJ229" s="73"/>
    </row>
    <row r="230" spans="36:36" x14ac:dyDescent="0.2">
      <c r="AJ230" s="73"/>
    </row>
    <row r="231" spans="36:36" x14ac:dyDescent="0.2">
      <c r="AJ231" s="73"/>
    </row>
    <row r="232" spans="36:36" x14ac:dyDescent="0.2">
      <c r="AJ232" s="73"/>
    </row>
    <row r="233" spans="36:36" x14ac:dyDescent="0.2">
      <c r="AJ233" s="73"/>
    </row>
    <row r="234" spans="36:36" x14ac:dyDescent="0.2">
      <c r="AJ234" s="73"/>
    </row>
    <row r="235" spans="36:36" x14ac:dyDescent="0.2">
      <c r="AJ235" s="73"/>
    </row>
    <row r="236" spans="36:36" x14ac:dyDescent="0.2">
      <c r="AJ236" s="73"/>
    </row>
    <row r="237" spans="36:36" x14ac:dyDescent="0.2">
      <c r="AJ237" s="73"/>
    </row>
    <row r="238" spans="36:36" x14ac:dyDescent="0.2">
      <c r="AJ238" s="73"/>
    </row>
    <row r="239" spans="36:36" x14ac:dyDescent="0.2">
      <c r="AJ239" s="73"/>
    </row>
    <row r="240" spans="36:36" x14ac:dyDescent="0.2">
      <c r="AJ240" s="73"/>
    </row>
    <row r="241" spans="36:36" x14ac:dyDescent="0.2">
      <c r="AJ241" s="73"/>
    </row>
    <row r="242" spans="36:36" x14ac:dyDescent="0.2">
      <c r="AJ242" s="73"/>
    </row>
    <row r="243" spans="36:36" x14ac:dyDescent="0.2">
      <c r="AJ243" s="73"/>
    </row>
    <row r="244" spans="36:36" x14ac:dyDescent="0.2">
      <c r="AJ244" s="73"/>
    </row>
    <row r="245" spans="36:36" x14ac:dyDescent="0.2">
      <c r="AJ245" s="73"/>
    </row>
    <row r="246" spans="36:36" x14ac:dyDescent="0.2">
      <c r="AJ246" s="73"/>
    </row>
    <row r="247" spans="36:36" x14ac:dyDescent="0.2">
      <c r="AJ247" s="73"/>
    </row>
    <row r="248" spans="36:36" x14ac:dyDescent="0.2">
      <c r="AJ248" s="73"/>
    </row>
    <row r="249" spans="36:36" x14ac:dyDescent="0.2">
      <c r="AJ249" s="73"/>
    </row>
    <row r="250" spans="36:36" x14ac:dyDescent="0.2">
      <c r="AJ250" s="73"/>
    </row>
    <row r="251" spans="36:36" x14ac:dyDescent="0.2">
      <c r="AJ251" s="73"/>
    </row>
    <row r="252" spans="36:36" x14ac:dyDescent="0.2">
      <c r="AJ252" s="73"/>
    </row>
    <row r="253" spans="36:36" x14ac:dyDescent="0.2">
      <c r="AJ253" s="73"/>
    </row>
    <row r="254" spans="36:36" x14ac:dyDescent="0.2">
      <c r="AJ254" s="73"/>
    </row>
    <row r="255" spans="36:36" x14ac:dyDescent="0.2">
      <c r="AJ255" s="73"/>
    </row>
    <row r="256" spans="36:36" x14ac:dyDescent="0.2">
      <c r="AJ256" s="73"/>
    </row>
    <row r="257" spans="36:36" x14ac:dyDescent="0.2">
      <c r="AJ257" s="73"/>
    </row>
    <row r="258" spans="36:36" x14ac:dyDescent="0.2">
      <c r="AJ258" s="73"/>
    </row>
    <row r="259" spans="36:36" x14ac:dyDescent="0.2">
      <c r="AJ259" s="73"/>
    </row>
    <row r="260" spans="36:36" x14ac:dyDescent="0.2">
      <c r="AJ260" s="73"/>
    </row>
    <row r="261" spans="36:36" x14ac:dyDescent="0.2">
      <c r="AJ261" s="73"/>
    </row>
    <row r="262" spans="36:36" x14ac:dyDescent="0.2">
      <c r="AJ262" s="73"/>
    </row>
    <row r="263" spans="36:36" x14ac:dyDescent="0.2">
      <c r="AJ263" s="73"/>
    </row>
    <row r="264" spans="36:36" x14ac:dyDescent="0.2">
      <c r="AJ264" s="73"/>
    </row>
    <row r="265" spans="36:36" x14ac:dyDescent="0.2">
      <c r="AJ265" s="73"/>
    </row>
    <row r="266" spans="36:36" x14ac:dyDescent="0.2">
      <c r="AJ266" s="73"/>
    </row>
    <row r="267" spans="36:36" x14ac:dyDescent="0.2">
      <c r="AJ267" s="73"/>
    </row>
    <row r="268" spans="36:36" x14ac:dyDescent="0.2">
      <c r="AJ268" s="73"/>
    </row>
    <row r="269" spans="36:36" x14ac:dyDescent="0.2">
      <c r="AJ269" s="73"/>
    </row>
    <row r="270" spans="36:36" x14ac:dyDescent="0.2">
      <c r="AJ270" s="73"/>
    </row>
    <row r="271" spans="36:36" x14ac:dyDescent="0.2">
      <c r="AJ271" s="73"/>
    </row>
    <row r="272" spans="36:36" x14ac:dyDescent="0.2">
      <c r="AJ272" s="73"/>
    </row>
    <row r="273" spans="36:36" x14ac:dyDescent="0.2">
      <c r="AJ273" s="73"/>
    </row>
    <row r="274" spans="36:36" x14ac:dyDescent="0.2">
      <c r="AJ274" s="73"/>
    </row>
    <row r="275" spans="36:36" x14ac:dyDescent="0.2">
      <c r="AJ275" s="73"/>
    </row>
    <row r="276" spans="36:36" x14ac:dyDescent="0.2">
      <c r="AJ276" s="73"/>
    </row>
    <row r="277" spans="36:36" x14ac:dyDescent="0.2">
      <c r="AJ277" s="73"/>
    </row>
    <row r="278" spans="36:36" x14ac:dyDescent="0.2">
      <c r="AJ278" s="73"/>
    </row>
    <row r="279" spans="36:36" x14ac:dyDescent="0.2">
      <c r="AJ279" s="73"/>
    </row>
    <row r="280" spans="36:36" x14ac:dyDescent="0.2">
      <c r="AJ280" s="73"/>
    </row>
    <row r="281" spans="36:36" x14ac:dyDescent="0.2">
      <c r="AJ281" s="73"/>
    </row>
    <row r="282" spans="36:36" x14ac:dyDescent="0.2">
      <c r="AJ282" s="73"/>
    </row>
    <row r="283" spans="36:36" x14ac:dyDescent="0.2">
      <c r="AJ283" s="73"/>
    </row>
    <row r="284" spans="36:36" x14ac:dyDescent="0.2">
      <c r="AJ284" s="73"/>
    </row>
    <row r="285" spans="36:36" x14ac:dyDescent="0.2">
      <c r="AJ285" s="73"/>
    </row>
    <row r="286" spans="36:36" x14ac:dyDescent="0.2">
      <c r="AJ286" s="73"/>
    </row>
    <row r="287" spans="36:36" x14ac:dyDescent="0.2">
      <c r="AJ287" s="73"/>
    </row>
    <row r="288" spans="36:36" x14ac:dyDescent="0.2">
      <c r="AJ288" s="73"/>
    </row>
    <row r="289" spans="36:36" x14ac:dyDescent="0.2">
      <c r="AJ289" s="73"/>
    </row>
    <row r="290" spans="36:36" x14ac:dyDescent="0.2">
      <c r="AJ290" s="73"/>
    </row>
    <row r="291" spans="36:36" x14ac:dyDescent="0.2">
      <c r="AJ291" s="73"/>
    </row>
    <row r="292" spans="36:36" x14ac:dyDescent="0.2">
      <c r="AJ292" s="73"/>
    </row>
    <row r="293" spans="36:36" x14ac:dyDescent="0.2">
      <c r="AJ293" s="73"/>
    </row>
    <row r="294" spans="36:36" x14ac:dyDescent="0.2">
      <c r="AJ294" s="73"/>
    </row>
    <row r="295" spans="36:36" x14ac:dyDescent="0.2">
      <c r="AJ295" s="73"/>
    </row>
    <row r="296" spans="36:36" x14ac:dyDescent="0.2">
      <c r="AJ296" s="73"/>
    </row>
    <row r="297" spans="36:36" x14ac:dyDescent="0.2">
      <c r="AJ297" s="73"/>
    </row>
    <row r="298" spans="36:36" x14ac:dyDescent="0.2">
      <c r="AJ298" s="73"/>
    </row>
    <row r="299" spans="36:36" x14ac:dyDescent="0.2">
      <c r="AJ299" s="73"/>
    </row>
    <row r="300" spans="36:36" x14ac:dyDescent="0.2">
      <c r="AJ300" s="73"/>
    </row>
    <row r="301" spans="36:36" x14ac:dyDescent="0.2">
      <c r="AJ301" s="73"/>
    </row>
    <row r="302" spans="36:36" x14ac:dyDescent="0.2">
      <c r="AJ302" s="73"/>
    </row>
    <row r="303" spans="36:36" x14ac:dyDescent="0.2">
      <c r="AJ303" s="73"/>
    </row>
    <row r="304" spans="36:36" x14ac:dyDescent="0.2">
      <c r="AJ304" s="73"/>
    </row>
    <row r="305" spans="36:36" x14ac:dyDescent="0.2">
      <c r="AJ305" s="73"/>
    </row>
    <row r="306" spans="36:36" x14ac:dyDescent="0.2">
      <c r="AJ306" s="73"/>
    </row>
    <row r="307" spans="36:36" x14ac:dyDescent="0.2">
      <c r="AJ307" s="73"/>
    </row>
    <row r="308" spans="36:36" x14ac:dyDescent="0.2">
      <c r="AJ308" s="73"/>
    </row>
    <row r="309" spans="36:36" x14ac:dyDescent="0.2">
      <c r="AJ309" s="73"/>
    </row>
    <row r="310" spans="36:36" x14ac:dyDescent="0.2">
      <c r="AJ310" s="73"/>
    </row>
    <row r="311" spans="36:36" x14ac:dyDescent="0.2">
      <c r="AJ311" s="73"/>
    </row>
    <row r="312" spans="36:36" x14ac:dyDescent="0.2">
      <c r="AJ312" s="73"/>
    </row>
    <row r="313" spans="36:36" x14ac:dyDescent="0.2">
      <c r="AJ313" s="73"/>
    </row>
    <row r="314" spans="36:36" x14ac:dyDescent="0.2">
      <c r="AJ314" s="73"/>
    </row>
    <row r="315" spans="36:36" x14ac:dyDescent="0.2">
      <c r="AJ315" s="73"/>
    </row>
    <row r="316" spans="36:36" x14ac:dyDescent="0.2">
      <c r="AJ316" s="73"/>
    </row>
    <row r="317" spans="36:36" x14ac:dyDescent="0.2">
      <c r="AJ317" s="73"/>
    </row>
    <row r="318" spans="36:36" x14ac:dyDescent="0.2">
      <c r="AJ318" s="73"/>
    </row>
    <row r="319" spans="36:36" x14ac:dyDescent="0.2">
      <c r="AJ319" s="73"/>
    </row>
    <row r="320" spans="36:36" x14ac:dyDescent="0.2">
      <c r="AJ320" s="73"/>
    </row>
    <row r="321" spans="36:36" x14ac:dyDescent="0.2">
      <c r="AJ321" s="73"/>
    </row>
    <row r="322" spans="36:36" x14ac:dyDescent="0.2">
      <c r="AJ322" s="73"/>
    </row>
    <row r="323" spans="36:36" x14ac:dyDescent="0.2">
      <c r="AJ323" s="73"/>
    </row>
    <row r="324" spans="36:36" x14ac:dyDescent="0.2">
      <c r="AJ324" s="73"/>
    </row>
    <row r="325" spans="36:36" x14ac:dyDescent="0.2">
      <c r="AJ325" s="73"/>
    </row>
    <row r="326" spans="36:36" x14ac:dyDescent="0.2">
      <c r="AJ326" s="73"/>
    </row>
    <row r="327" spans="36:36" x14ac:dyDescent="0.2">
      <c r="AJ327" s="73"/>
    </row>
    <row r="328" spans="36:36" x14ac:dyDescent="0.2">
      <c r="AJ328" s="73"/>
    </row>
    <row r="329" spans="36:36" x14ac:dyDescent="0.2">
      <c r="AJ329" s="73"/>
    </row>
    <row r="330" spans="36:36" x14ac:dyDescent="0.2">
      <c r="AJ330" s="73"/>
    </row>
    <row r="331" spans="36:36" x14ac:dyDescent="0.2">
      <c r="AJ331" s="73"/>
    </row>
    <row r="332" spans="36:36" x14ac:dyDescent="0.2">
      <c r="AJ332" s="73"/>
    </row>
    <row r="333" spans="36:36" x14ac:dyDescent="0.2">
      <c r="AJ333" s="73"/>
    </row>
    <row r="334" spans="36:36" x14ac:dyDescent="0.2">
      <c r="AJ334" s="73"/>
    </row>
    <row r="335" spans="36:36" x14ac:dyDescent="0.2">
      <c r="AJ335" s="73"/>
    </row>
    <row r="336" spans="36:36" x14ac:dyDescent="0.2">
      <c r="AJ336" s="73"/>
    </row>
    <row r="337" spans="36:36" x14ac:dyDescent="0.2">
      <c r="AJ337" s="73"/>
    </row>
    <row r="338" spans="36:36" x14ac:dyDescent="0.2">
      <c r="AJ338" s="73"/>
    </row>
    <row r="339" spans="36:36" x14ac:dyDescent="0.2">
      <c r="AJ339" s="73"/>
    </row>
    <row r="340" spans="36:36" x14ac:dyDescent="0.2">
      <c r="AJ340" s="73"/>
    </row>
    <row r="341" spans="36:36" x14ac:dyDescent="0.2">
      <c r="AJ341" s="73"/>
    </row>
    <row r="342" spans="36:36" x14ac:dyDescent="0.2">
      <c r="AJ342" s="73"/>
    </row>
    <row r="343" spans="36:36" x14ac:dyDescent="0.2">
      <c r="AJ343" s="73"/>
    </row>
    <row r="344" spans="36:36" x14ac:dyDescent="0.2">
      <c r="AJ344" s="73"/>
    </row>
    <row r="345" spans="36:36" x14ac:dyDescent="0.2">
      <c r="AJ345" s="73"/>
    </row>
    <row r="346" spans="36:36" x14ac:dyDescent="0.2">
      <c r="AJ346" s="73"/>
    </row>
    <row r="347" spans="36:36" x14ac:dyDescent="0.2">
      <c r="AJ347" s="73"/>
    </row>
    <row r="348" spans="36:36" x14ac:dyDescent="0.2">
      <c r="AJ348" s="73"/>
    </row>
    <row r="349" spans="36:36" x14ac:dyDescent="0.2">
      <c r="AJ349" s="73"/>
    </row>
    <row r="350" spans="36:36" x14ac:dyDescent="0.2">
      <c r="AJ350" s="73"/>
    </row>
    <row r="351" spans="36:36" x14ac:dyDescent="0.2">
      <c r="AJ351" s="73"/>
    </row>
    <row r="352" spans="36:36" x14ac:dyDescent="0.2">
      <c r="AJ352" s="73"/>
    </row>
    <row r="353" spans="36:36" x14ac:dyDescent="0.2">
      <c r="AJ353" s="73"/>
    </row>
    <row r="354" spans="36:36" x14ac:dyDescent="0.2">
      <c r="AJ354" s="73"/>
    </row>
    <row r="355" spans="36:36" x14ac:dyDescent="0.2">
      <c r="AJ355" s="73"/>
    </row>
    <row r="356" spans="36:36" x14ac:dyDescent="0.2">
      <c r="AJ356" s="73"/>
    </row>
    <row r="357" spans="36:36" x14ac:dyDescent="0.2">
      <c r="AJ357" s="73"/>
    </row>
    <row r="358" spans="36:36" x14ac:dyDescent="0.2">
      <c r="AJ358" s="73"/>
    </row>
    <row r="359" spans="36:36" x14ac:dyDescent="0.2">
      <c r="AJ359" s="73"/>
    </row>
    <row r="360" spans="36:36" x14ac:dyDescent="0.2">
      <c r="AJ360" s="73"/>
    </row>
    <row r="361" spans="36:36" x14ac:dyDescent="0.2">
      <c r="AJ361" s="73"/>
    </row>
    <row r="362" spans="36:36" x14ac:dyDescent="0.2">
      <c r="AJ362" s="73"/>
    </row>
    <row r="363" spans="36:36" x14ac:dyDescent="0.2">
      <c r="AJ363" s="73"/>
    </row>
    <row r="364" spans="36:36" x14ac:dyDescent="0.2">
      <c r="AJ364" s="73"/>
    </row>
    <row r="365" spans="36:36" x14ac:dyDescent="0.2">
      <c r="AJ365" s="73"/>
    </row>
    <row r="366" spans="36:36" x14ac:dyDescent="0.2">
      <c r="AJ366" s="73"/>
    </row>
    <row r="367" spans="36:36" x14ac:dyDescent="0.2">
      <c r="AJ367" s="73"/>
    </row>
    <row r="368" spans="36:36" x14ac:dyDescent="0.2">
      <c r="AJ368" s="73"/>
    </row>
    <row r="369" spans="36:36" x14ac:dyDescent="0.2">
      <c r="AJ369" s="73"/>
    </row>
    <row r="370" spans="36:36" x14ac:dyDescent="0.2">
      <c r="AJ370" s="73"/>
    </row>
    <row r="371" spans="36:36" x14ac:dyDescent="0.2">
      <c r="AJ371" s="73"/>
    </row>
    <row r="372" spans="36:36" x14ac:dyDescent="0.2">
      <c r="AJ372" s="73"/>
    </row>
    <row r="373" spans="36:36" x14ac:dyDescent="0.2">
      <c r="AJ373" s="73"/>
    </row>
    <row r="374" spans="36:36" x14ac:dyDescent="0.2">
      <c r="AJ374" s="73"/>
    </row>
    <row r="375" spans="36:36" x14ac:dyDescent="0.2">
      <c r="AJ375" s="73"/>
    </row>
    <row r="376" spans="36:36" x14ac:dyDescent="0.2">
      <c r="AJ376" s="73"/>
    </row>
    <row r="377" spans="36:36" x14ac:dyDescent="0.2">
      <c r="AJ377" s="73"/>
    </row>
    <row r="378" spans="36:36" x14ac:dyDescent="0.2">
      <c r="AJ378" s="73"/>
    </row>
    <row r="379" spans="36:36" x14ac:dyDescent="0.2">
      <c r="AJ379" s="73"/>
    </row>
    <row r="380" spans="36:36" x14ac:dyDescent="0.2">
      <c r="AJ380" s="73"/>
    </row>
    <row r="381" spans="36:36" x14ac:dyDescent="0.2">
      <c r="AJ381" s="73"/>
    </row>
    <row r="382" spans="36:36" x14ac:dyDescent="0.2">
      <c r="AJ382" s="73"/>
    </row>
    <row r="383" spans="36:36" x14ac:dyDescent="0.2">
      <c r="AJ383" s="73"/>
    </row>
    <row r="384" spans="36:36" x14ac:dyDescent="0.2">
      <c r="AJ384" s="73"/>
    </row>
    <row r="385" spans="36:36" x14ac:dyDescent="0.2">
      <c r="AJ385" s="73"/>
    </row>
    <row r="386" spans="36:36" x14ac:dyDescent="0.2">
      <c r="AJ386" s="73"/>
    </row>
    <row r="387" spans="36:36" x14ac:dyDescent="0.2">
      <c r="AJ387" s="73"/>
    </row>
    <row r="388" spans="36:36" x14ac:dyDescent="0.2">
      <c r="AJ388" s="73"/>
    </row>
    <row r="389" spans="36:36" x14ac:dyDescent="0.2">
      <c r="AJ389" s="73"/>
    </row>
    <row r="390" spans="36:36" x14ac:dyDescent="0.2">
      <c r="AJ390" s="73"/>
    </row>
    <row r="391" spans="36:36" x14ac:dyDescent="0.2">
      <c r="AJ391" s="73"/>
    </row>
    <row r="392" spans="36:36" x14ac:dyDescent="0.2">
      <c r="AJ392" s="73"/>
    </row>
    <row r="393" spans="36:36" x14ac:dyDescent="0.2">
      <c r="AJ393" s="73"/>
    </row>
    <row r="394" spans="36:36" x14ac:dyDescent="0.2">
      <c r="AJ394" s="73"/>
    </row>
    <row r="395" spans="36:36" x14ac:dyDescent="0.2">
      <c r="AJ395" s="73"/>
    </row>
    <row r="396" spans="36:36" x14ac:dyDescent="0.2">
      <c r="AJ396" s="73"/>
    </row>
    <row r="397" spans="36:36" x14ac:dyDescent="0.2">
      <c r="AJ397" s="73"/>
    </row>
    <row r="398" spans="36:36" x14ac:dyDescent="0.2">
      <c r="AJ398" s="73"/>
    </row>
    <row r="399" spans="36:36" x14ac:dyDescent="0.2">
      <c r="AJ399" s="73"/>
    </row>
    <row r="400" spans="36:36" x14ac:dyDescent="0.2">
      <c r="AJ400" s="73"/>
    </row>
    <row r="401" spans="36:36" x14ac:dyDescent="0.2">
      <c r="AJ401" s="73"/>
    </row>
    <row r="402" spans="36:36" x14ac:dyDescent="0.2">
      <c r="AJ402" s="73"/>
    </row>
    <row r="403" spans="36:36" x14ac:dyDescent="0.2">
      <c r="AJ403" s="73"/>
    </row>
    <row r="404" spans="36:36" x14ac:dyDescent="0.2">
      <c r="AJ404" s="73"/>
    </row>
    <row r="405" spans="36:36" x14ac:dyDescent="0.2">
      <c r="AJ405" s="73"/>
    </row>
    <row r="406" spans="36:36" x14ac:dyDescent="0.2">
      <c r="AJ406" s="73"/>
    </row>
    <row r="407" spans="36:36" x14ac:dyDescent="0.2">
      <c r="AJ407" s="73"/>
    </row>
    <row r="408" spans="36:36" x14ac:dyDescent="0.2">
      <c r="AJ408" s="73"/>
    </row>
    <row r="409" spans="36:36" x14ac:dyDescent="0.2">
      <c r="AJ409" s="73"/>
    </row>
    <row r="410" spans="36:36" x14ac:dyDescent="0.2">
      <c r="AJ410" s="73"/>
    </row>
    <row r="411" spans="36:36" x14ac:dyDescent="0.2">
      <c r="AJ411" s="73"/>
    </row>
    <row r="412" spans="36:36" x14ac:dyDescent="0.2">
      <c r="AJ412" s="73"/>
    </row>
    <row r="413" spans="36:36" x14ac:dyDescent="0.2">
      <c r="AJ413" s="73"/>
    </row>
    <row r="414" spans="36:36" x14ac:dyDescent="0.2">
      <c r="AJ414" s="73"/>
    </row>
    <row r="415" spans="36:36" x14ac:dyDescent="0.2">
      <c r="AJ415" s="73"/>
    </row>
    <row r="416" spans="36:36" x14ac:dyDescent="0.2">
      <c r="AJ416" s="73"/>
    </row>
    <row r="417" spans="36:36" x14ac:dyDescent="0.2">
      <c r="AJ417" s="73"/>
    </row>
    <row r="418" spans="36:36" x14ac:dyDescent="0.2">
      <c r="AJ418" s="73"/>
    </row>
    <row r="419" spans="36:36" x14ac:dyDescent="0.2">
      <c r="AJ419" s="73"/>
    </row>
    <row r="420" spans="36:36" x14ac:dyDescent="0.2">
      <c r="AJ420" s="73"/>
    </row>
    <row r="421" spans="36:36" x14ac:dyDescent="0.2">
      <c r="AJ421" s="73"/>
    </row>
    <row r="422" spans="36:36" x14ac:dyDescent="0.2">
      <c r="AJ422" s="73"/>
    </row>
    <row r="423" spans="36:36" x14ac:dyDescent="0.2">
      <c r="AJ423" s="73"/>
    </row>
    <row r="424" spans="36:36" x14ac:dyDescent="0.2">
      <c r="AJ424" s="73"/>
    </row>
    <row r="425" spans="36:36" x14ac:dyDescent="0.2">
      <c r="AJ425" s="73"/>
    </row>
    <row r="426" spans="36:36" x14ac:dyDescent="0.2">
      <c r="AJ426" s="73"/>
    </row>
    <row r="427" spans="36:36" x14ac:dyDescent="0.2">
      <c r="AJ427" s="73"/>
    </row>
    <row r="428" spans="36:36" x14ac:dyDescent="0.2">
      <c r="AJ428" s="73"/>
    </row>
    <row r="429" spans="36:36" x14ac:dyDescent="0.2">
      <c r="AJ429" s="73"/>
    </row>
    <row r="430" spans="36:36" x14ac:dyDescent="0.2">
      <c r="AJ430" s="73"/>
    </row>
    <row r="431" spans="36:36" x14ac:dyDescent="0.2">
      <c r="AJ431" s="73"/>
    </row>
    <row r="432" spans="36:36" x14ac:dyDescent="0.2">
      <c r="AJ432" s="73"/>
    </row>
    <row r="433" spans="36:36" x14ac:dyDescent="0.2">
      <c r="AJ433" s="73"/>
    </row>
    <row r="434" spans="36:36" x14ac:dyDescent="0.2">
      <c r="AJ434" s="73"/>
    </row>
    <row r="435" spans="36:36" x14ac:dyDescent="0.2">
      <c r="AJ435" s="73"/>
    </row>
    <row r="436" spans="36:36" x14ac:dyDescent="0.2">
      <c r="AJ436" s="73"/>
    </row>
    <row r="437" spans="36:36" x14ac:dyDescent="0.2">
      <c r="AJ437" s="73"/>
    </row>
    <row r="438" spans="36:36" x14ac:dyDescent="0.2">
      <c r="AJ438" s="73"/>
    </row>
    <row r="439" spans="36:36" x14ac:dyDescent="0.2">
      <c r="AJ439" s="73"/>
    </row>
    <row r="440" spans="36:36" x14ac:dyDescent="0.2">
      <c r="AJ440" s="73"/>
    </row>
    <row r="441" spans="36:36" x14ac:dyDescent="0.2">
      <c r="AJ441" s="73"/>
    </row>
    <row r="442" spans="36:36" x14ac:dyDescent="0.2">
      <c r="AJ442" s="73"/>
    </row>
    <row r="443" spans="36:36" x14ac:dyDescent="0.2">
      <c r="AJ443" s="73"/>
    </row>
    <row r="444" spans="36:36" x14ac:dyDescent="0.2">
      <c r="AJ444" s="73"/>
    </row>
    <row r="445" spans="36:36" x14ac:dyDescent="0.2">
      <c r="AJ445" s="73"/>
    </row>
    <row r="446" spans="36:36" x14ac:dyDescent="0.2">
      <c r="AJ446" s="73"/>
    </row>
    <row r="447" spans="36:36" x14ac:dyDescent="0.2">
      <c r="AJ447" s="73"/>
    </row>
    <row r="448" spans="36:36" x14ac:dyDescent="0.2">
      <c r="AJ448" s="73"/>
    </row>
    <row r="449" spans="36:36" x14ac:dyDescent="0.2">
      <c r="AJ449" s="73"/>
    </row>
    <row r="450" spans="36:36" x14ac:dyDescent="0.2">
      <c r="AJ450" s="73"/>
    </row>
    <row r="451" spans="36:36" x14ac:dyDescent="0.2">
      <c r="AJ451" s="73"/>
    </row>
    <row r="452" spans="36:36" x14ac:dyDescent="0.2">
      <c r="AJ452" s="73"/>
    </row>
    <row r="453" spans="36:36" x14ac:dyDescent="0.2">
      <c r="AJ453" s="73"/>
    </row>
    <row r="454" spans="36:36" x14ac:dyDescent="0.2">
      <c r="AJ454" s="73"/>
    </row>
    <row r="455" spans="36:36" x14ac:dyDescent="0.2">
      <c r="AJ455" s="73"/>
    </row>
    <row r="456" spans="36:36" x14ac:dyDescent="0.2">
      <c r="AJ456" s="73"/>
    </row>
    <row r="457" spans="36:36" x14ac:dyDescent="0.2">
      <c r="AJ457" s="73"/>
    </row>
    <row r="458" spans="36:36" x14ac:dyDescent="0.2">
      <c r="AJ458" s="73"/>
    </row>
    <row r="459" spans="36:36" x14ac:dyDescent="0.2">
      <c r="AJ459" s="73"/>
    </row>
    <row r="460" spans="36:36" x14ac:dyDescent="0.2">
      <c r="AJ460" s="73"/>
    </row>
    <row r="461" spans="36:36" x14ac:dyDescent="0.2">
      <c r="AJ461" s="73"/>
    </row>
    <row r="462" spans="36:36" x14ac:dyDescent="0.2">
      <c r="AJ462" s="73"/>
    </row>
    <row r="463" spans="36:36" x14ac:dyDescent="0.2">
      <c r="AJ463" s="73"/>
    </row>
    <row r="464" spans="36:36" x14ac:dyDescent="0.2">
      <c r="AJ464" s="73"/>
    </row>
    <row r="465" spans="36:36" x14ac:dyDescent="0.2">
      <c r="AJ465" s="73"/>
    </row>
    <row r="466" spans="36:36" x14ac:dyDescent="0.2">
      <c r="AJ466" s="73"/>
    </row>
    <row r="467" spans="36:36" x14ac:dyDescent="0.2">
      <c r="AJ467" s="73"/>
    </row>
    <row r="468" spans="36:36" x14ac:dyDescent="0.2">
      <c r="AJ468" s="73"/>
    </row>
    <row r="469" spans="36:36" x14ac:dyDescent="0.2">
      <c r="AJ469" s="73"/>
    </row>
    <row r="470" spans="36:36" x14ac:dyDescent="0.2">
      <c r="AJ470" s="73"/>
    </row>
    <row r="471" spans="36:36" x14ac:dyDescent="0.2">
      <c r="AJ471" s="73"/>
    </row>
    <row r="472" spans="36:36" x14ac:dyDescent="0.2">
      <c r="AJ472" s="73"/>
    </row>
    <row r="473" spans="36:36" x14ac:dyDescent="0.2">
      <c r="AJ473" s="73"/>
    </row>
    <row r="474" spans="36:36" x14ac:dyDescent="0.2">
      <c r="AJ474" s="73"/>
    </row>
    <row r="475" spans="36:36" x14ac:dyDescent="0.2">
      <c r="AJ475" s="73"/>
    </row>
    <row r="476" spans="36:36" x14ac:dyDescent="0.2">
      <c r="AJ476" s="73"/>
    </row>
    <row r="477" spans="36:36" x14ac:dyDescent="0.2">
      <c r="AJ477" s="73"/>
    </row>
    <row r="478" spans="36:36" x14ac:dyDescent="0.2">
      <c r="AJ478" s="73"/>
    </row>
    <row r="479" spans="36:36" x14ac:dyDescent="0.2">
      <c r="AJ479" s="73"/>
    </row>
    <row r="480" spans="36:36" x14ac:dyDescent="0.2">
      <c r="AJ480" s="73"/>
    </row>
    <row r="481" spans="36:36" x14ac:dyDescent="0.2">
      <c r="AJ481" s="73"/>
    </row>
    <row r="482" spans="36:36" x14ac:dyDescent="0.2">
      <c r="AJ482" s="73"/>
    </row>
    <row r="483" spans="36:36" x14ac:dyDescent="0.2">
      <c r="AJ483" s="73"/>
    </row>
    <row r="484" spans="36:36" x14ac:dyDescent="0.2">
      <c r="AJ484" s="73"/>
    </row>
    <row r="485" spans="36:36" x14ac:dyDescent="0.2">
      <c r="AJ485" s="73"/>
    </row>
    <row r="486" spans="36:36" x14ac:dyDescent="0.2">
      <c r="AJ486" s="73"/>
    </row>
    <row r="487" spans="36:36" x14ac:dyDescent="0.2">
      <c r="AJ487" s="73"/>
    </row>
    <row r="488" spans="36:36" x14ac:dyDescent="0.2">
      <c r="AJ488" s="73"/>
    </row>
    <row r="489" spans="36:36" x14ac:dyDescent="0.2">
      <c r="AJ489" s="73"/>
    </row>
    <row r="490" spans="36:36" x14ac:dyDescent="0.2">
      <c r="AJ490" s="73"/>
    </row>
    <row r="491" spans="36:36" x14ac:dyDescent="0.2">
      <c r="AJ491" s="73"/>
    </row>
    <row r="492" spans="36:36" x14ac:dyDescent="0.2">
      <c r="AJ492" s="73"/>
    </row>
    <row r="493" spans="36:36" x14ac:dyDescent="0.2">
      <c r="AJ493" s="73"/>
    </row>
    <row r="494" spans="36:36" x14ac:dyDescent="0.2">
      <c r="AJ494" s="73"/>
    </row>
    <row r="495" spans="36:36" x14ac:dyDescent="0.2">
      <c r="AJ495" s="73"/>
    </row>
    <row r="496" spans="36:36" x14ac:dyDescent="0.2">
      <c r="AJ496" s="73"/>
    </row>
    <row r="497" spans="36:36" x14ac:dyDescent="0.2">
      <c r="AJ497" s="73"/>
    </row>
    <row r="498" spans="36:36" x14ac:dyDescent="0.2">
      <c r="AJ498" s="73"/>
    </row>
    <row r="499" spans="36:36" x14ac:dyDescent="0.2">
      <c r="AJ499" s="73"/>
    </row>
    <row r="500" spans="36:36" x14ac:dyDescent="0.2">
      <c r="AJ500" s="73"/>
    </row>
    <row r="501" spans="36:36" x14ac:dyDescent="0.2">
      <c r="AJ501" s="73"/>
    </row>
    <row r="502" spans="36:36" x14ac:dyDescent="0.2">
      <c r="AJ502" s="73"/>
    </row>
    <row r="503" spans="36:36" x14ac:dyDescent="0.2">
      <c r="AJ503" s="73"/>
    </row>
    <row r="504" spans="36:36" x14ac:dyDescent="0.2">
      <c r="AJ504" s="73"/>
    </row>
    <row r="505" spans="36:36" x14ac:dyDescent="0.2">
      <c r="AJ505" s="73"/>
    </row>
    <row r="506" spans="36:36" x14ac:dyDescent="0.2">
      <c r="AJ506" s="73"/>
    </row>
  </sheetData>
  <mergeCells count="3">
    <mergeCell ref="B1:G1"/>
    <mergeCell ref="K3:L3"/>
    <mergeCell ref="M3:N3"/>
  </mergeCells>
  <phoneticPr fontId="2" type="noConversion"/>
  <pageMargins left="0.75" right="0.75" top="1" bottom="1" header="0.5" footer="0.5"/>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22"/>
  <sheetViews>
    <sheetView workbookViewId="0">
      <selection activeCell="H23" sqref="H23"/>
    </sheetView>
  </sheetViews>
  <sheetFormatPr defaultRowHeight="12" x14ac:dyDescent="0.15"/>
  <cols>
    <col min="1" max="1" width="11.375" style="40" bestFit="1" customWidth="1"/>
    <col min="2" max="2" width="20.25" style="40" bestFit="1" customWidth="1"/>
    <col min="3" max="4" width="14.125" style="40" bestFit="1" customWidth="1"/>
    <col min="5" max="5" width="13.125" style="40" bestFit="1" customWidth="1"/>
    <col min="6" max="7" width="14.125" style="40" bestFit="1" customWidth="1"/>
    <col min="8" max="8" width="15.125" style="40" bestFit="1" customWidth="1"/>
    <col min="9" max="9" width="9" style="40"/>
    <col min="10" max="10" width="7.625" style="40" bestFit="1" customWidth="1"/>
    <col min="11" max="16384" width="9" style="40"/>
  </cols>
  <sheetData>
    <row r="2" spans="1:10" x14ac:dyDescent="0.15">
      <c r="C2" s="37"/>
      <c r="D2" s="36"/>
      <c r="E2" s="36"/>
      <c r="F2" s="36"/>
      <c r="G2" s="38"/>
      <c r="H2" s="36"/>
    </row>
    <row r="3" spans="1:10" x14ac:dyDescent="0.15">
      <c r="B3" s="286" t="s">
        <v>404</v>
      </c>
      <c r="C3" s="287">
        <v>25000000</v>
      </c>
      <c r="D3" s="36"/>
      <c r="E3" s="36"/>
      <c r="F3" s="36"/>
      <c r="G3" s="38"/>
      <c r="H3" s="36"/>
    </row>
    <row r="4" spans="1:10" x14ac:dyDescent="0.15">
      <c r="B4" s="286" t="s">
        <v>405</v>
      </c>
      <c r="C4" s="287">
        <v>2750000</v>
      </c>
      <c r="D4" s="38">
        <v>0.11</v>
      </c>
      <c r="E4" s="36"/>
      <c r="F4" s="36"/>
      <c r="G4" s="38"/>
      <c r="H4" s="36"/>
    </row>
    <row r="5" spans="1:10" x14ac:dyDescent="0.15">
      <c r="B5" s="286" t="s">
        <v>432</v>
      </c>
      <c r="C5" s="287">
        <v>2000000</v>
      </c>
      <c r="D5" s="38">
        <v>0.08</v>
      </c>
      <c r="E5" s="36"/>
      <c r="F5" s="36"/>
      <c r="G5" s="38"/>
      <c r="H5" s="36"/>
    </row>
    <row r="6" spans="1:10" x14ac:dyDescent="0.15">
      <c r="B6" s="286" t="s">
        <v>407</v>
      </c>
      <c r="C6" s="288">
        <v>0</v>
      </c>
      <c r="D6" s="38"/>
      <c r="E6" s="36"/>
      <c r="F6" s="36"/>
      <c r="G6" s="38"/>
      <c r="H6" s="39">
        <v>0.375</v>
      </c>
    </row>
    <row r="7" spans="1:10" x14ac:dyDescent="0.15">
      <c r="B7" s="286" t="s">
        <v>408</v>
      </c>
      <c r="C7" s="288">
        <v>5.7333333333333333E-3</v>
      </c>
      <c r="D7" s="38">
        <v>6.88E-2</v>
      </c>
      <c r="E7" s="36"/>
      <c r="F7" s="36"/>
      <c r="G7" s="38"/>
      <c r="H7" s="39">
        <v>0.3125</v>
      </c>
    </row>
    <row r="8" spans="1:10" ht="12.75" thickBot="1" x14ac:dyDescent="0.2">
      <c r="C8" s="37"/>
      <c r="D8" s="36"/>
      <c r="E8" s="36"/>
      <c r="F8" s="36"/>
      <c r="G8" s="38"/>
      <c r="H8" s="39">
        <v>0.3125</v>
      </c>
    </row>
    <row r="9" spans="1:10" x14ac:dyDescent="0.15">
      <c r="A9" s="296"/>
      <c r="B9" s="297"/>
      <c r="C9" s="290"/>
      <c r="D9" s="299" t="s">
        <v>409</v>
      </c>
      <c r="E9" s="299" t="s">
        <v>410</v>
      </c>
      <c r="F9" s="299" t="s">
        <v>411</v>
      </c>
      <c r="G9" s="300" t="s">
        <v>412</v>
      </c>
      <c r="H9" s="301" t="s">
        <v>413</v>
      </c>
    </row>
    <row r="10" spans="1:10" x14ac:dyDescent="0.15">
      <c r="A10" s="298" t="s">
        <v>416</v>
      </c>
      <c r="B10" s="286" t="s">
        <v>414</v>
      </c>
      <c r="C10" s="289">
        <v>39806</v>
      </c>
      <c r="D10" s="287">
        <v>0</v>
      </c>
      <c r="E10" s="287">
        <v>0</v>
      </c>
      <c r="F10" s="287">
        <v>0</v>
      </c>
      <c r="G10" s="287">
        <v>25000000</v>
      </c>
      <c r="H10" s="291">
        <v>-21500000</v>
      </c>
    </row>
    <row r="11" spans="1:10" x14ac:dyDescent="0.15">
      <c r="A11" s="292">
        <v>6</v>
      </c>
      <c r="B11" s="207">
        <v>1</v>
      </c>
      <c r="C11" s="289">
        <v>39927</v>
      </c>
      <c r="D11" s="287">
        <v>2110000</v>
      </c>
      <c r="E11" s="287">
        <v>860000</v>
      </c>
      <c r="F11" s="287">
        <v>1250000</v>
      </c>
      <c r="G11" s="287">
        <v>23750000</v>
      </c>
      <c r="H11" s="327">
        <v>2735000</v>
      </c>
      <c r="J11" s="41">
        <v>0.05</v>
      </c>
    </row>
    <row r="12" spans="1:10" x14ac:dyDescent="0.15">
      <c r="A12" s="292">
        <v>6</v>
      </c>
      <c r="B12" s="207">
        <v>2</v>
      </c>
      <c r="C12" s="289">
        <v>40110</v>
      </c>
      <c r="D12" s="287">
        <v>3067000</v>
      </c>
      <c r="E12" s="287">
        <v>817000</v>
      </c>
      <c r="F12" s="287">
        <v>2250000</v>
      </c>
      <c r="G12" s="287">
        <v>21500000</v>
      </c>
      <c r="H12" s="327">
        <v>3692000</v>
      </c>
      <c r="J12" s="41">
        <v>0.09</v>
      </c>
    </row>
    <row r="13" spans="1:10" x14ac:dyDescent="0.15">
      <c r="A13" s="292">
        <v>6</v>
      </c>
      <c r="B13" s="207">
        <v>3</v>
      </c>
      <c r="C13" s="289">
        <v>40292</v>
      </c>
      <c r="D13" s="287">
        <v>2489600</v>
      </c>
      <c r="E13" s="287">
        <v>739600</v>
      </c>
      <c r="F13" s="287">
        <v>1750000</v>
      </c>
      <c r="G13" s="287">
        <v>19750000</v>
      </c>
      <c r="H13" s="293">
        <v>2489600</v>
      </c>
      <c r="J13" s="41">
        <v>7.0000000000000007E-2</v>
      </c>
    </row>
    <row r="14" spans="1:10" x14ac:dyDescent="0.15">
      <c r="A14" s="292">
        <v>6</v>
      </c>
      <c r="B14" s="207">
        <v>4</v>
      </c>
      <c r="C14" s="289">
        <v>40475</v>
      </c>
      <c r="D14" s="287">
        <v>4429400</v>
      </c>
      <c r="E14" s="287">
        <v>679400</v>
      </c>
      <c r="F14" s="287">
        <v>3750000</v>
      </c>
      <c r="G14" s="287">
        <v>16000000</v>
      </c>
      <c r="H14" s="293">
        <v>4429400</v>
      </c>
      <c r="J14" s="41">
        <v>0.15</v>
      </c>
    </row>
    <row r="15" spans="1:10" x14ac:dyDescent="0.15">
      <c r="A15" s="292">
        <v>6</v>
      </c>
      <c r="B15" s="207">
        <v>5</v>
      </c>
      <c r="C15" s="289">
        <v>40657</v>
      </c>
      <c r="D15" s="287">
        <v>2550400</v>
      </c>
      <c r="E15" s="287">
        <v>550400</v>
      </c>
      <c r="F15" s="287">
        <v>2000000</v>
      </c>
      <c r="G15" s="287">
        <v>14000000</v>
      </c>
      <c r="H15" s="327">
        <v>2550400</v>
      </c>
      <c r="J15" s="41">
        <v>0.08</v>
      </c>
    </row>
    <row r="16" spans="1:10" x14ac:dyDescent="0.15">
      <c r="A16" s="292">
        <v>6</v>
      </c>
      <c r="B16" s="207">
        <v>6</v>
      </c>
      <c r="C16" s="289">
        <v>40840</v>
      </c>
      <c r="D16" s="287">
        <v>4731600</v>
      </c>
      <c r="E16" s="287">
        <v>481600</v>
      </c>
      <c r="F16" s="287">
        <v>4250000</v>
      </c>
      <c r="G16" s="287">
        <v>9750000</v>
      </c>
      <c r="H16" s="327">
        <v>4731600</v>
      </c>
      <c r="J16" s="41">
        <v>0.17</v>
      </c>
    </row>
    <row r="17" spans="1:10" x14ac:dyDescent="0.15">
      <c r="A17" s="292">
        <v>6</v>
      </c>
      <c r="B17" s="207">
        <v>7</v>
      </c>
      <c r="C17" s="289">
        <v>41023</v>
      </c>
      <c r="D17" s="287">
        <v>2585400</v>
      </c>
      <c r="E17" s="287">
        <v>335400</v>
      </c>
      <c r="F17" s="287">
        <v>2250000</v>
      </c>
      <c r="G17" s="287">
        <v>7500000</v>
      </c>
      <c r="H17" s="293">
        <v>2585400</v>
      </c>
      <c r="J17" s="41">
        <v>0.09</v>
      </c>
    </row>
    <row r="18" spans="1:10" x14ac:dyDescent="0.15">
      <c r="A18" s="292">
        <v>6</v>
      </c>
      <c r="B18" s="207">
        <v>8</v>
      </c>
      <c r="C18" s="289">
        <v>41206</v>
      </c>
      <c r="D18" s="287">
        <v>4758000</v>
      </c>
      <c r="E18" s="287">
        <v>258000</v>
      </c>
      <c r="F18" s="287">
        <v>4500000</v>
      </c>
      <c r="G18" s="287">
        <v>3000000</v>
      </c>
      <c r="H18" s="293">
        <v>4758000</v>
      </c>
      <c r="J18" s="41">
        <v>0.18</v>
      </c>
    </row>
    <row r="19" spans="1:10" x14ac:dyDescent="0.15">
      <c r="A19" s="292">
        <v>6</v>
      </c>
      <c r="B19" s="207">
        <v>9</v>
      </c>
      <c r="C19" s="289">
        <v>41388</v>
      </c>
      <c r="D19" s="287">
        <v>1103200</v>
      </c>
      <c r="E19" s="287">
        <v>103200</v>
      </c>
      <c r="F19" s="287">
        <v>1000000</v>
      </c>
      <c r="G19" s="287">
        <v>2000000</v>
      </c>
      <c r="H19" s="327">
        <v>1103200</v>
      </c>
      <c r="J19" s="41">
        <v>0.04</v>
      </c>
    </row>
    <row r="20" spans="1:10" x14ac:dyDescent="0.15">
      <c r="A20" s="292">
        <v>6</v>
      </c>
      <c r="B20" s="207">
        <v>10</v>
      </c>
      <c r="C20" s="289">
        <v>41571</v>
      </c>
      <c r="D20" s="287">
        <v>2068800</v>
      </c>
      <c r="E20" s="287">
        <v>68800</v>
      </c>
      <c r="F20" s="287">
        <v>2000000</v>
      </c>
      <c r="G20" s="287">
        <v>0</v>
      </c>
      <c r="H20" s="328">
        <v>-681200</v>
      </c>
      <c r="J20" s="41">
        <v>0.08</v>
      </c>
    </row>
    <row r="21" spans="1:10" ht="12.75" thickBot="1" x14ac:dyDescent="0.2">
      <c r="A21" s="634" t="s">
        <v>415</v>
      </c>
      <c r="B21" s="635"/>
      <c r="C21" s="636"/>
      <c r="D21" s="294">
        <v>29893400</v>
      </c>
      <c r="E21" s="294">
        <v>4893400</v>
      </c>
      <c r="F21" s="294">
        <v>25000000</v>
      </c>
      <c r="G21" s="294"/>
      <c r="H21" s="295">
        <v>6.2018625203197959E-2</v>
      </c>
      <c r="J21" s="41">
        <v>1</v>
      </c>
    </row>
    <row r="22" spans="1:10" x14ac:dyDescent="0.15">
      <c r="H22" s="41">
        <v>0.12403725040639592</v>
      </c>
    </row>
  </sheetData>
  <mergeCells count="1">
    <mergeCell ref="A21:C21"/>
  </mergeCells>
  <phoneticPr fontId="2" type="noConversion"/>
  <pageMargins left="0.75" right="0.75" top="1" bottom="1" header="0.5" footer="0.5"/>
  <pageSetup paperSize="9"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9"/>
  <sheetViews>
    <sheetView workbookViewId="0">
      <selection activeCell="I23" sqref="I23"/>
    </sheetView>
  </sheetViews>
  <sheetFormatPr defaultRowHeight="12" x14ac:dyDescent="0.15"/>
  <cols>
    <col min="1" max="4" width="9" style="12"/>
    <col min="5" max="5" width="15.125" style="12" bestFit="1" customWidth="1"/>
    <col min="6" max="7" width="12.875" style="12" customWidth="1"/>
    <col min="8" max="8" width="12.5" style="12" customWidth="1"/>
    <col min="9" max="9" width="11.875" style="12" customWidth="1"/>
    <col min="10" max="16384" width="9" style="12"/>
  </cols>
  <sheetData>
    <row r="1" spans="1:9" x14ac:dyDescent="0.15">
      <c r="A1" s="155"/>
      <c r="B1" s="155"/>
      <c r="C1" s="155"/>
      <c r="D1" s="155"/>
      <c r="E1" s="155"/>
      <c r="F1" s="155"/>
      <c r="G1" s="647" t="s">
        <v>627</v>
      </c>
      <c r="H1" s="647"/>
      <c r="I1" s="11"/>
    </row>
    <row r="2" spans="1:9" x14ac:dyDescent="0.15">
      <c r="A2" s="638" t="s">
        <v>628</v>
      </c>
      <c r="B2" s="638"/>
      <c r="C2" s="638"/>
      <c r="D2" s="638"/>
      <c r="E2" s="325" t="s">
        <v>689</v>
      </c>
      <c r="F2" s="325" t="s">
        <v>629</v>
      </c>
      <c r="G2" s="325" t="s">
        <v>630</v>
      </c>
      <c r="H2" s="325" t="s">
        <v>631</v>
      </c>
    </row>
    <row r="3" spans="1:9" x14ac:dyDescent="0.15">
      <c r="A3" s="646" t="s">
        <v>632</v>
      </c>
      <c r="B3" s="646"/>
      <c r="C3" s="646"/>
      <c r="D3" s="646"/>
      <c r="E3" s="19">
        <f>SUM(E4:E7)</f>
        <v>0</v>
      </c>
      <c r="F3" s="19">
        <f>SUM(F4:F7)</f>
        <v>37925.860268999997</v>
      </c>
      <c r="G3" s="19">
        <f>SUM(G4:G7)</f>
        <v>11463.449253999999</v>
      </c>
      <c r="H3" s="19">
        <f>SUM(H4:H7)</f>
        <v>15916.498016000001</v>
      </c>
    </row>
    <row r="4" spans="1:9" x14ac:dyDescent="0.15">
      <c r="A4" s="156"/>
      <c r="B4" s="651" t="s">
        <v>633</v>
      </c>
      <c r="C4" s="651"/>
      <c r="D4" s="651"/>
      <c r="E4" s="19"/>
      <c r="F4" s="19">
        <f>177318104.8/10000</f>
        <v>17731.81048</v>
      </c>
      <c r="G4" s="19"/>
      <c r="H4" s="19"/>
    </row>
    <row r="5" spans="1:9" x14ac:dyDescent="0.15">
      <c r="A5" s="156"/>
      <c r="B5" s="646" t="s">
        <v>634</v>
      </c>
      <c r="C5" s="646"/>
      <c r="D5" s="646"/>
      <c r="E5" s="122"/>
      <c r="F5" s="19"/>
      <c r="G5" s="19"/>
      <c r="H5" s="19"/>
    </row>
    <row r="6" spans="1:9" x14ac:dyDescent="0.15">
      <c r="A6" s="156"/>
      <c r="B6" s="646" t="s">
        <v>635</v>
      </c>
      <c r="C6" s="646"/>
      <c r="D6" s="646"/>
      <c r="E6" s="122"/>
      <c r="F6" s="19"/>
      <c r="G6" s="19"/>
      <c r="H6" s="19"/>
    </row>
    <row r="7" spans="1:9" x14ac:dyDescent="0.15">
      <c r="A7" s="156"/>
      <c r="B7" s="646" t="s">
        <v>636</v>
      </c>
      <c r="C7" s="646"/>
      <c r="D7" s="646"/>
      <c r="E7" s="19">
        <f>E8+E9+E10+E11</f>
        <v>0</v>
      </c>
      <c r="F7" s="19">
        <f>F8+F9+F10+F11</f>
        <v>20194.049789000001</v>
      </c>
      <c r="G7" s="19">
        <f>G8+G9+G10+G11</f>
        <v>11463.449253999999</v>
      </c>
      <c r="H7" s="19">
        <f>H8+H9+H10+H11</f>
        <v>15916.498016000001</v>
      </c>
    </row>
    <row r="8" spans="1:9" x14ac:dyDescent="0.15">
      <c r="A8" s="156"/>
      <c r="B8" s="156"/>
      <c r="C8" s="652" t="s">
        <v>637</v>
      </c>
      <c r="D8" s="652"/>
      <c r="E8" s="19"/>
      <c r="F8" s="19">
        <f>79489295.86/10000</f>
        <v>7948.9295860000002</v>
      </c>
      <c r="G8" s="19">
        <f>23891585.36/10000</f>
        <v>2389.1585359999999</v>
      </c>
      <c r="H8" s="19">
        <f>78048690.55/10000</f>
        <v>7804.8690550000001</v>
      </c>
    </row>
    <row r="9" spans="1:9" x14ac:dyDescent="0.15">
      <c r="A9" s="156"/>
      <c r="B9" s="156"/>
      <c r="C9" s="652" t="s">
        <v>638</v>
      </c>
      <c r="D9" s="652"/>
      <c r="E9" s="122"/>
      <c r="F9" s="19"/>
      <c r="G9" s="19"/>
      <c r="H9" s="19"/>
    </row>
    <row r="10" spans="1:9" x14ac:dyDescent="0.15">
      <c r="A10" s="156"/>
      <c r="B10" s="156"/>
      <c r="C10" s="652" t="s">
        <v>639</v>
      </c>
      <c r="D10" s="652"/>
      <c r="E10" s="19"/>
      <c r="F10" s="19">
        <f>122451202.03/10000</f>
        <v>12245.120203</v>
      </c>
      <c r="G10" s="19">
        <f>90742907.18/10000</f>
        <v>9074.2907180000002</v>
      </c>
      <c r="H10" s="19">
        <f>81116289.61/10000</f>
        <v>8111.6289610000003</v>
      </c>
    </row>
    <row r="11" spans="1:9" x14ac:dyDescent="0.15">
      <c r="A11" s="156"/>
      <c r="B11" s="156"/>
      <c r="C11" s="654" t="s">
        <v>640</v>
      </c>
      <c r="D11" s="654"/>
      <c r="E11" s="19"/>
      <c r="F11" s="19"/>
      <c r="G11" s="19"/>
      <c r="H11" s="19"/>
    </row>
    <row r="12" spans="1:9" x14ac:dyDescent="0.15">
      <c r="A12" s="646" t="s">
        <v>641</v>
      </c>
      <c r="B12" s="646"/>
      <c r="C12" s="646"/>
      <c r="D12" s="646"/>
      <c r="E12" s="19">
        <f>SUM(E13:E16)</f>
        <v>0</v>
      </c>
      <c r="F12" s="19">
        <f>SUM(F13:F16)</f>
        <v>11562.419071</v>
      </c>
      <c r="G12" s="19">
        <f>G13+G14+G15+G16</f>
        <v>10995.049195</v>
      </c>
      <c r="H12" s="19">
        <f>H13+H14+H15+H16</f>
        <v>0</v>
      </c>
    </row>
    <row r="13" spans="1:9" x14ac:dyDescent="0.15">
      <c r="A13" s="156"/>
      <c r="B13" s="156"/>
      <c r="C13" s="651" t="s">
        <v>642</v>
      </c>
      <c r="D13" s="651"/>
      <c r="E13" s="19"/>
      <c r="F13" s="19">
        <f>13775046.96/10000</f>
        <v>1377.5046960000002</v>
      </c>
      <c r="G13" s="19">
        <f>13626931.76/10000</f>
        <v>1362.693176</v>
      </c>
      <c r="H13" s="19"/>
    </row>
    <row r="14" spans="1:9" x14ac:dyDescent="0.15">
      <c r="A14" s="156"/>
      <c r="B14" s="156"/>
      <c r="C14" s="646" t="s">
        <v>643</v>
      </c>
      <c r="D14" s="646"/>
      <c r="E14" s="19"/>
      <c r="F14" s="19">
        <f>86858415.67/10000</f>
        <v>8685.8415669999995</v>
      </c>
      <c r="G14" s="19">
        <f>69556492.63/10000</f>
        <v>6955.6492629999993</v>
      </c>
      <c r="H14" s="19"/>
    </row>
    <row r="15" spans="1:9" x14ac:dyDescent="0.15">
      <c r="A15" s="156"/>
      <c r="B15" s="156"/>
      <c r="C15" s="646" t="s">
        <v>644</v>
      </c>
      <c r="D15" s="646"/>
      <c r="E15" s="19"/>
      <c r="F15" s="19"/>
      <c r="G15" s="19"/>
      <c r="H15" s="19"/>
    </row>
    <row r="16" spans="1:9" x14ac:dyDescent="0.15">
      <c r="A16" s="156"/>
      <c r="B16" s="156"/>
      <c r="C16" s="653" t="s">
        <v>645</v>
      </c>
      <c r="D16" s="653"/>
      <c r="E16" s="19"/>
      <c r="F16" s="19">
        <f>14990728.08/10000</f>
        <v>1499.0728079999999</v>
      </c>
      <c r="G16" s="19">
        <f>26767067.56/10000</f>
        <v>2676.706756</v>
      </c>
      <c r="H16" s="19"/>
    </row>
    <row r="17" spans="1:8" x14ac:dyDescent="0.15">
      <c r="A17" s="646" t="s">
        <v>646</v>
      </c>
      <c r="B17" s="646"/>
      <c r="C17" s="646"/>
      <c r="D17" s="646"/>
      <c r="E17" s="19"/>
      <c r="F17" s="19">
        <f>10674006.97/10000</f>
        <v>1067.400697</v>
      </c>
      <c r="G17" s="19">
        <f>20477340.02/10000</f>
        <v>2047.7340019999999</v>
      </c>
      <c r="H17" s="19">
        <f>58561947.07/10000</f>
        <v>5856.1947069999997</v>
      </c>
    </row>
    <row r="18" spans="1:8" x14ac:dyDescent="0.15">
      <c r="A18" s="646" t="s">
        <v>647</v>
      </c>
      <c r="B18" s="646"/>
      <c r="C18" s="646"/>
      <c r="D18" s="646"/>
      <c r="E18" s="19"/>
      <c r="F18" s="19">
        <f>(177318104.8+193354.19)/10000</f>
        <v>17751.145898999999</v>
      </c>
      <c r="G18" s="19">
        <f>(177318104.8+193354.19)/10000</f>
        <v>17751.145898999999</v>
      </c>
      <c r="H18" s="19">
        <f>(193705218.04+193354.19)/10000</f>
        <v>19389.857222999999</v>
      </c>
    </row>
    <row r="19" spans="1:8" x14ac:dyDescent="0.15">
      <c r="A19" s="638" t="s">
        <v>648</v>
      </c>
      <c r="B19" s="638"/>
      <c r="C19" s="638"/>
      <c r="D19" s="638"/>
      <c r="E19" s="19">
        <f>E17+E18+E12+E3</f>
        <v>0</v>
      </c>
      <c r="F19" s="326">
        <f>F17+F18+F12+F3</f>
        <v>68306.825935999994</v>
      </c>
      <c r="G19" s="326">
        <f>G17+G18+G12+G3</f>
        <v>42257.378349999999</v>
      </c>
      <c r="H19" s="326">
        <f>H17+H18+H12+H3</f>
        <v>41162.549945999999</v>
      </c>
    </row>
    <row r="20" spans="1:8" x14ac:dyDescent="0.15">
      <c r="A20" s="648"/>
      <c r="B20" s="649"/>
      <c r="C20" s="649"/>
      <c r="D20" s="649"/>
      <c r="E20" s="649"/>
      <c r="F20" s="649"/>
      <c r="G20" s="649"/>
      <c r="H20" s="650"/>
    </row>
    <row r="21" spans="1:8" x14ac:dyDescent="0.15">
      <c r="A21" s="637" t="s">
        <v>649</v>
      </c>
      <c r="B21" s="637"/>
      <c r="C21" s="637"/>
      <c r="D21" s="637"/>
      <c r="E21" s="19">
        <f>E22+E25+E28</f>
        <v>0</v>
      </c>
      <c r="F21" s="19">
        <f>F22+F25+F28</f>
        <v>1500</v>
      </c>
      <c r="G21" s="19">
        <f>G22+G25+G28</f>
        <v>1200</v>
      </c>
      <c r="H21" s="19">
        <f>H22+H25+H28</f>
        <v>3000</v>
      </c>
    </row>
    <row r="22" spans="1:8" x14ac:dyDescent="0.15">
      <c r="A22" s="157"/>
      <c r="B22" s="642" t="s">
        <v>650</v>
      </c>
      <c r="C22" s="642"/>
      <c r="D22" s="642"/>
      <c r="E22" s="19">
        <f>SUM(E23:E24)</f>
        <v>0</v>
      </c>
      <c r="F22" s="19">
        <f>F23+F24</f>
        <v>1200</v>
      </c>
      <c r="G22" s="19"/>
      <c r="H22" s="19">
        <f>30000000/10000</f>
        <v>3000</v>
      </c>
    </row>
    <row r="23" spans="1:8" x14ac:dyDescent="0.15">
      <c r="A23" s="157"/>
      <c r="B23" s="157"/>
      <c r="C23" s="637" t="s">
        <v>651</v>
      </c>
      <c r="D23" s="637"/>
      <c r="E23" s="19"/>
      <c r="F23" s="19"/>
      <c r="G23" s="19"/>
      <c r="H23" s="19"/>
    </row>
    <row r="24" spans="1:8" x14ac:dyDescent="0.15">
      <c r="A24" s="157"/>
      <c r="B24" s="157"/>
      <c r="C24" s="640" t="s">
        <v>652</v>
      </c>
      <c r="D24" s="640"/>
      <c r="E24" s="19"/>
      <c r="F24" s="19">
        <f>12000000/10000</f>
        <v>1200</v>
      </c>
      <c r="G24" s="19"/>
      <c r="H24" s="19"/>
    </row>
    <row r="25" spans="1:8" x14ac:dyDescent="0.15">
      <c r="A25" s="157"/>
      <c r="B25" s="639" t="s">
        <v>653</v>
      </c>
      <c r="C25" s="639"/>
      <c r="D25" s="639"/>
      <c r="E25" s="19">
        <f>SUM(E26:E27)</f>
        <v>0</v>
      </c>
      <c r="F25" s="19">
        <f>SUM(F26:F27)</f>
        <v>300</v>
      </c>
      <c r="G25" s="19">
        <f>SUM(G26:G27)</f>
        <v>1200</v>
      </c>
      <c r="H25" s="19">
        <f>SUM(H26:H27)</f>
        <v>0</v>
      </c>
    </row>
    <row r="26" spans="1:8" x14ac:dyDescent="0.15">
      <c r="A26" s="157"/>
      <c r="B26" s="157"/>
      <c r="C26" s="637" t="s">
        <v>651</v>
      </c>
      <c r="D26" s="637"/>
      <c r="E26" s="19"/>
      <c r="F26" s="19"/>
      <c r="G26" s="19"/>
      <c r="H26" s="19"/>
    </row>
    <row r="27" spans="1:8" x14ac:dyDescent="0.15">
      <c r="A27" s="157"/>
      <c r="B27" s="157"/>
      <c r="C27" s="640" t="s">
        <v>652</v>
      </c>
      <c r="D27" s="640"/>
      <c r="E27" s="19"/>
      <c r="F27" s="19">
        <f>3000000/10000</f>
        <v>300</v>
      </c>
      <c r="G27" s="19">
        <f>12000000/10000</f>
        <v>1200</v>
      </c>
      <c r="H27" s="19"/>
    </row>
    <row r="28" spans="1:8" x14ac:dyDescent="0.15">
      <c r="A28" s="157"/>
      <c r="B28" s="637" t="s">
        <v>654</v>
      </c>
      <c r="C28" s="637"/>
      <c r="D28" s="637"/>
      <c r="E28" s="19"/>
      <c r="F28" s="19"/>
      <c r="G28" s="19"/>
      <c r="H28" s="19"/>
    </row>
    <row r="29" spans="1:8" x14ac:dyDescent="0.15">
      <c r="A29" s="637" t="s">
        <v>655</v>
      </c>
      <c r="B29" s="637"/>
      <c r="C29" s="637"/>
      <c r="D29" s="637"/>
      <c r="E29" s="19">
        <f>E30</f>
        <v>0</v>
      </c>
      <c r="F29" s="19">
        <f>F30</f>
        <v>37171.527041000001</v>
      </c>
      <c r="G29" s="19">
        <f>G30</f>
        <v>37617.888700000003</v>
      </c>
      <c r="H29" s="19">
        <f>H30</f>
        <v>35771.964341999999</v>
      </c>
    </row>
    <row r="30" spans="1:8" x14ac:dyDescent="0.15">
      <c r="A30" s="158"/>
      <c r="B30" s="639" t="s">
        <v>656</v>
      </c>
      <c r="C30" s="639"/>
      <c r="D30" s="639"/>
      <c r="E30" s="19"/>
      <c r="F30" s="19">
        <f>371715270.41/10000</f>
        <v>37171.527041000001</v>
      </c>
      <c r="G30" s="19">
        <f>376178887/10000</f>
        <v>37617.888700000003</v>
      </c>
      <c r="H30" s="19">
        <f>357719643.42/10000</f>
        <v>35771.964341999999</v>
      </c>
    </row>
    <row r="31" spans="1:8" x14ac:dyDescent="0.15">
      <c r="A31" s="637" t="s">
        <v>657</v>
      </c>
      <c r="B31" s="637"/>
      <c r="C31" s="637"/>
      <c r="D31" s="637"/>
      <c r="E31" s="19">
        <f>SUM(E32:E34)</f>
        <v>0</v>
      </c>
      <c r="F31" s="19">
        <f>SUM(F32:F34)</f>
        <v>11874.695857000001</v>
      </c>
      <c r="G31" s="19">
        <f>SUM(G32:G34)</f>
        <v>3410.6970920000003</v>
      </c>
      <c r="H31" s="19">
        <f>SUM(H32:H34)</f>
        <v>2361.7930459999998</v>
      </c>
    </row>
    <row r="32" spans="1:8" x14ac:dyDescent="0.15">
      <c r="A32" s="157"/>
      <c r="B32" s="642" t="s">
        <v>658</v>
      </c>
      <c r="C32" s="642"/>
      <c r="D32" s="642"/>
      <c r="E32" s="19"/>
      <c r="F32" s="19">
        <f>406753.56/10000</f>
        <v>40.675356000000001</v>
      </c>
      <c r="G32" s="19">
        <f>344113.56/10000</f>
        <v>34.411355999999998</v>
      </c>
      <c r="H32" s="19">
        <f>367034.56/10000</f>
        <v>36.703456000000003</v>
      </c>
    </row>
    <row r="33" spans="1:8" x14ac:dyDescent="0.15">
      <c r="A33" s="157"/>
      <c r="B33" s="639" t="s">
        <v>659</v>
      </c>
      <c r="C33" s="639"/>
      <c r="D33" s="639"/>
      <c r="E33" s="19"/>
      <c r="F33" s="19">
        <f>5721237.88/10000</f>
        <v>572.12378799999999</v>
      </c>
      <c r="G33" s="19">
        <f>9593124.52/10000</f>
        <v>959.31245200000001</v>
      </c>
      <c r="H33" s="19">
        <f>306953.84/10000</f>
        <v>30.695384000000004</v>
      </c>
    </row>
    <row r="34" spans="1:8" x14ac:dyDescent="0.15">
      <c r="A34" s="157"/>
      <c r="B34" s="641" t="s">
        <v>660</v>
      </c>
      <c r="C34" s="641"/>
      <c r="D34" s="641"/>
      <c r="E34" s="19"/>
      <c r="F34" s="19">
        <f>112618967.13/10000</f>
        <v>11261.896713</v>
      </c>
      <c r="G34" s="19">
        <f>24169732.84/10000</f>
        <v>2416.9732840000001</v>
      </c>
      <c r="H34" s="19">
        <f>22943942.06/10000</f>
        <v>2294.3942059999999</v>
      </c>
    </row>
    <row r="35" spans="1:8" x14ac:dyDescent="0.15">
      <c r="A35" s="637" t="s">
        <v>661</v>
      </c>
      <c r="B35" s="637"/>
      <c r="C35" s="637"/>
      <c r="D35" s="637"/>
      <c r="E35" s="19"/>
      <c r="F35" s="19">
        <f>(177318104.8+287925.58)/10000</f>
        <v>17760.603038000001</v>
      </c>
      <c r="G35" s="19">
        <f>287925.58/10000</f>
        <v>28.792558000000003</v>
      </c>
      <c r="H35" s="19">
        <f>287925.58/10000</f>
        <v>28.792558000000003</v>
      </c>
    </row>
    <row r="36" spans="1:8" x14ac:dyDescent="0.15">
      <c r="A36" s="638" t="s">
        <v>662</v>
      </c>
      <c r="B36" s="638"/>
      <c r="C36" s="638"/>
      <c r="D36" s="638"/>
      <c r="E36" s="326">
        <f>E35+E31+E29+E21</f>
        <v>0</v>
      </c>
      <c r="F36" s="326">
        <f>F35+F31+F29+F21</f>
        <v>68306.825936000008</v>
      </c>
      <c r="G36" s="326">
        <f>G35+G31+G29+G21</f>
        <v>42257.378350000006</v>
      </c>
      <c r="H36" s="326">
        <f>H35+H31+H29+H21</f>
        <v>41162.549945999999</v>
      </c>
    </row>
    <row r="37" spans="1:8" x14ac:dyDescent="0.15">
      <c r="A37" s="643"/>
      <c r="B37" s="644"/>
      <c r="C37" s="644"/>
      <c r="D37" s="645"/>
      <c r="E37" s="19"/>
      <c r="F37" s="19"/>
      <c r="G37" s="19"/>
      <c r="H37" s="19"/>
    </row>
    <row r="38" spans="1:8" x14ac:dyDescent="0.15">
      <c r="A38" s="637"/>
      <c r="B38" s="637"/>
      <c r="C38" s="637"/>
      <c r="D38" s="637"/>
      <c r="E38" s="19"/>
      <c r="F38" s="19"/>
      <c r="G38" s="19"/>
      <c r="H38" s="19"/>
    </row>
    <row r="39" spans="1:8" x14ac:dyDescent="0.15">
      <c r="A39" s="638"/>
      <c r="B39" s="638"/>
      <c r="C39" s="638"/>
      <c r="D39" s="638"/>
      <c r="E39" s="326"/>
      <c r="F39" s="326"/>
      <c r="G39" s="326"/>
      <c r="H39" s="326"/>
    </row>
  </sheetData>
  <mergeCells count="39">
    <mergeCell ref="C9:D9"/>
    <mergeCell ref="C10:D10"/>
    <mergeCell ref="C16:D16"/>
    <mergeCell ref="A12:D12"/>
    <mergeCell ref="A17:D17"/>
    <mergeCell ref="C11:D11"/>
    <mergeCell ref="C13:D13"/>
    <mergeCell ref="C15:D15"/>
    <mergeCell ref="C23:D23"/>
    <mergeCell ref="C24:D24"/>
    <mergeCell ref="B22:D22"/>
    <mergeCell ref="C14:D14"/>
    <mergeCell ref="G1:H1"/>
    <mergeCell ref="A18:D18"/>
    <mergeCell ref="A19:D19"/>
    <mergeCell ref="A21:D21"/>
    <mergeCell ref="A20:H20"/>
    <mergeCell ref="A2:D2"/>
    <mergeCell ref="A3:D3"/>
    <mergeCell ref="B4:D4"/>
    <mergeCell ref="B5:D5"/>
    <mergeCell ref="B6:D6"/>
    <mergeCell ref="B7:D7"/>
    <mergeCell ref="C8:D8"/>
    <mergeCell ref="A38:D38"/>
    <mergeCell ref="A35:D35"/>
    <mergeCell ref="A39:D39"/>
    <mergeCell ref="B25:D25"/>
    <mergeCell ref="C26:D26"/>
    <mergeCell ref="C27:D27"/>
    <mergeCell ref="B28:D28"/>
    <mergeCell ref="B33:D33"/>
    <mergeCell ref="B34:D34"/>
    <mergeCell ref="A36:D36"/>
    <mergeCell ref="A29:D29"/>
    <mergeCell ref="B30:D30"/>
    <mergeCell ref="A31:D31"/>
    <mergeCell ref="B32:D32"/>
    <mergeCell ref="A37:D37"/>
  </mergeCells>
  <phoneticPr fontId="2" type="noConversion"/>
  <pageMargins left="0.75" right="0.75" top="1" bottom="1" header="0.5" footer="0.5"/>
  <pageSetup paperSize="9" scale="65"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8</vt:i4>
      </vt:variant>
      <vt:variant>
        <vt:lpstr>命名范围</vt:lpstr>
      </vt:variant>
      <vt:variant>
        <vt:i4>1</vt:i4>
      </vt:variant>
    </vt:vector>
  </HeadingPairs>
  <TitlesOfParts>
    <vt:vector size="9" baseType="lpstr">
      <vt:lpstr>租金测算</vt:lpstr>
      <vt:lpstr>调查报告</vt:lpstr>
      <vt:lpstr>前期项目</vt:lpstr>
      <vt:lpstr>行政－收支明细表</vt:lpstr>
      <vt:lpstr>行政－资产负债表 </vt:lpstr>
      <vt:lpstr>二期租金测算</vt:lpstr>
      <vt:lpstr>一期租金测算</vt:lpstr>
      <vt:lpstr>基建－资金表</vt:lpstr>
      <vt:lpstr>'行政－资产负债表 '!Print_Area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FL</dc:creator>
  <cp:lastModifiedBy>坤FL</cp:lastModifiedBy>
  <cp:lastPrinted>2009-09-18T05:57:38Z</cp:lastPrinted>
  <dcterms:created xsi:type="dcterms:W3CDTF">1996-12-17T01:32:42Z</dcterms:created>
  <dcterms:modified xsi:type="dcterms:W3CDTF">2016-02-13T14:56:06Z</dcterms:modified>
</cp:coreProperties>
</file>