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esktop\"/>
    </mc:Choice>
  </mc:AlternateContent>
  <bookViews>
    <workbookView xWindow="0" yWindow="0" windowWidth="13950" windowHeight="7500"/>
  </bookViews>
  <sheets>
    <sheet name="现金流量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Q17" i="1"/>
  <c r="L15" i="1" l="1"/>
  <c r="P11" i="1"/>
  <c r="P10" i="1"/>
  <c r="P9" i="1"/>
  <c r="P8" i="1"/>
  <c r="P7" i="1" l="1"/>
  <c r="P12" i="1"/>
  <c r="P13" i="1"/>
  <c r="P14" i="1"/>
  <c r="P15" i="1"/>
  <c r="M13" i="1"/>
  <c r="M7" i="1"/>
  <c r="M8" i="1"/>
  <c r="M9" i="1"/>
  <c r="M10" i="1"/>
  <c r="M11" i="1"/>
  <c r="M12" i="1"/>
  <c r="M14" i="1"/>
  <c r="M15" i="1"/>
  <c r="M6" i="1"/>
  <c r="M16" i="1" l="1"/>
  <c r="K21" i="1"/>
  <c r="K19" i="1"/>
  <c r="K20" i="1"/>
  <c r="M5" i="1"/>
  <c r="D16" i="1"/>
  <c r="F17" i="1"/>
  <c r="J16" i="1"/>
  <c r="K15" i="1"/>
  <c r="M1" i="1"/>
  <c r="D1" i="1"/>
  <c r="L14" i="1"/>
  <c r="L13" i="1"/>
  <c r="L12" i="1"/>
  <c r="L11" i="1"/>
  <c r="L10" i="1"/>
  <c r="L9" i="1"/>
  <c r="L8" i="1"/>
  <c r="L7" i="1"/>
  <c r="L6" i="1"/>
  <c r="K8" i="1"/>
  <c r="K16" i="1" s="1"/>
  <c r="K9" i="1"/>
  <c r="K10" i="1"/>
  <c r="K11" i="1"/>
  <c r="K12" i="1"/>
  <c r="K13" i="1"/>
  <c r="K14" i="1"/>
  <c r="K7" i="1"/>
  <c r="K5" i="1"/>
</calcChain>
</file>

<file path=xl/sharedStrings.xml><?xml version="1.0" encoding="utf-8"?>
<sst xmlns="http://schemas.openxmlformats.org/spreadsheetml/2006/main" count="29" uniqueCount="28">
  <si>
    <t>年次</t>
    <phoneticPr fontId="2" type="noConversion"/>
  </si>
  <si>
    <t>期次</t>
    <phoneticPr fontId="2" type="noConversion"/>
  </si>
  <si>
    <t>流出</t>
    <phoneticPr fontId="2" type="noConversion"/>
  </si>
  <si>
    <t>融资额</t>
    <phoneticPr fontId="2" type="noConversion"/>
  </si>
  <si>
    <t>退保证金</t>
    <phoneticPr fontId="2" type="noConversion"/>
  </si>
  <si>
    <t>手续费</t>
    <phoneticPr fontId="2" type="noConversion"/>
  </si>
  <si>
    <t>银行费</t>
    <phoneticPr fontId="2" type="noConversion"/>
  </si>
  <si>
    <t>保证金</t>
    <phoneticPr fontId="2" type="noConversion"/>
  </si>
  <si>
    <t>佣金</t>
    <phoneticPr fontId="2" type="noConversion"/>
  </si>
  <si>
    <t>租金</t>
    <phoneticPr fontId="2" type="noConversion"/>
  </si>
  <si>
    <t>净流量</t>
    <phoneticPr fontId="2" type="noConversion"/>
  </si>
  <si>
    <t>折现系数</t>
    <phoneticPr fontId="2" type="noConversion"/>
  </si>
  <si>
    <t>流入</t>
    <phoneticPr fontId="2" type="noConversion"/>
  </si>
  <si>
    <t>起租日</t>
    <phoneticPr fontId="2" type="noConversion"/>
  </si>
  <si>
    <t>合计</t>
    <phoneticPr fontId="2" type="noConversion"/>
  </si>
  <si>
    <t>折现率=借款（期）利率=</t>
    <phoneticPr fontId="2" type="noConversion"/>
  </si>
  <si>
    <t>借款年利率</t>
    <phoneticPr fontId="2" type="noConversion"/>
  </si>
  <si>
    <t>IRR</t>
    <phoneticPr fontId="2" type="noConversion"/>
  </si>
  <si>
    <t>期IRR</t>
    <phoneticPr fontId="2" type="noConversion"/>
  </si>
  <si>
    <t>现金流量表·租赁视界制作</t>
    <phoneticPr fontId="2" type="noConversion"/>
  </si>
  <si>
    <t>红字来历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</si>
  <si>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</si>
  <si>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</si>
  <si>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</si>
  <si>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净现值(通过折现率计算)</t>
    <phoneticPr fontId="2" type="noConversion"/>
  </si>
  <si>
    <t>通过NPV公式计算</t>
    <phoneticPr fontId="2" type="noConversion"/>
  </si>
  <si>
    <t>NPV</t>
    <phoneticPr fontId="2" type="noConversion"/>
  </si>
  <si>
    <t>对原书内容有异议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</si>
</sst>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&quot;¥&quot;#,##0.00;[Red]&quot;¥&quot;\-#,##0.00"/>
    <numFmt numFmtId="176" formatCode="0.0000"/>
    <numFmt numFmtId="177" formatCode="0.00_ "/>
    <numFmt numFmtId="178" formatCode="0.000%"/>
    <numFmt numFmtId="179" formatCode="0.0000%"/>
    <numFmt numFmtId="180" formatCode="0.0000000000000%"/>
  </numFmts>
  <fonts count="8" x14ac:knownFonts="1">
    <font>
      <sz val="10"/>
      <color theme="1"/>
      <name val="等线"/>
      <family val="2"/>
      <charset val="134"/>
      <scheme val="minor"/>
    </font>
    <font>
      <sz val="10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color theme="1"/>
      <name val="宋体"/>
      <family val="3"/>
      <charset val="134"/>
    </font>
    <font>
      <sz val="18"/>
      <color theme="1"/>
      <name val="迷你简粗宋"/>
      <family val="4"/>
      <charset val="134"/>
    </font>
    <font>
      <b/>
      <sz val="10"/>
      <color rgb="FFFF0000"/>
      <name val="宋体"/>
      <family val="3"/>
      <charset val="134"/>
    </font>
    <font>
      <sz val="10"/>
      <color rgb="FFFF0000"/>
      <name val="宋体"/>
      <family val="3"/>
      <charset val="134"/>
    </font>
    <font>
      <sz val="18"/>
      <color theme="4" tint="-0.249977111117893"/>
      <name val="迷你简粗宋"/>
      <family val="4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89999084444715716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  <xf numFmtId="178" fontId="3" fillId="2" borderId="0" xfId="1" applyNumberFormat="1" applyFont="1" applyFill="1">
      <alignment vertical="center"/>
    </xf>
    <xf numFmtId="0" fontId="3" fillId="2" borderId="0" xfId="0" applyFont="1" applyFill="1">
      <alignment vertical="center"/>
    </xf>
    <xf numFmtId="10" fontId="3" fillId="2" borderId="0" xfId="0" applyNumberFormat="1" applyFont="1" applyFill="1" applyAlignment="1">
      <alignment vertical="center"/>
    </xf>
    <xf numFmtId="179" fontId="3" fillId="2" borderId="0" xfId="0" applyNumberFormat="1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1" xfId="0" applyFont="1" applyFill="1" applyBorder="1">
      <alignment vertical="center"/>
    </xf>
    <xf numFmtId="0" fontId="3" fillId="2" borderId="3" xfId="0" applyFont="1" applyFill="1" applyBorder="1">
      <alignment vertical="center"/>
    </xf>
    <xf numFmtId="2" fontId="3" fillId="2" borderId="3" xfId="0" applyNumberFormat="1" applyFont="1" applyFill="1" applyBorder="1">
      <alignment vertical="center"/>
    </xf>
    <xf numFmtId="2" fontId="3" fillId="2" borderId="20" xfId="0" applyNumberFormat="1" applyFont="1" applyFill="1" applyBorder="1">
      <alignment vertical="center"/>
    </xf>
    <xf numFmtId="2" fontId="3" fillId="2" borderId="11" xfId="0" applyNumberFormat="1" applyFont="1" applyFill="1" applyBorder="1">
      <alignment vertical="center"/>
    </xf>
    <xf numFmtId="176" fontId="3" fillId="2" borderId="3" xfId="0" applyNumberFormat="1" applyFont="1" applyFill="1" applyBorder="1">
      <alignment vertical="center"/>
    </xf>
    <xf numFmtId="2" fontId="3" fillId="2" borderId="0" xfId="0" applyNumberFormat="1" applyFont="1" applyFill="1" applyBorder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2" fontId="3" fillId="2" borderId="1" xfId="0" applyNumberFormat="1" applyFont="1" applyFill="1" applyBorder="1">
      <alignment vertical="center"/>
    </xf>
    <xf numFmtId="2" fontId="3" fillId="2" borderId="9" xfId="0" applyNumberFormat="1" applyFont="1" applyFill="1" applyBorder="1">
      <alignment vertical="center"/>
    </xf>
    <xf numFmtId="0" fontId="3" fillId="2" borderId="29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8" fontId="3" fillId="2" borderId="9" xfId="0" applyNumberFormat="1" applyFont="1" applyFill="1" applyBorder="1">
      <alignment vertical="center"/>
    </xf>
    <xf numFmtId="8" fontId="3" fillId="2" borderId="0" xfId="0" applyNumberFormat="1" applyFont="1" applyFill="1" applyBorder="1">
      <alignment vertical="center"/>
    </xf>
    <xf numFmtId="0" fontId="3" fillId="2" borderId="11" xfId="0" applyFont="1" applyFill="1" applyBorder="1" applyAlignment="1">
      <alignment horizontal="center" vertical="center"/>
    </xf>
    <xf numFmtId="2" fontId="3" fillId="2" borderId="29" xfId="0" applyNumberFormat="1" applyFont="1" applyFill="1" applyBorder="1">
      <alignment vertical="center"/>
    </xf>
    <xf numFmtId="2" fontId="3" fillId="2" borderId="32" xfId="0" applyNumberFormat="1" applyFont="1" applyFill="1" applyBorder="1">
      <alignment vertical="center"/>
    </xf>
    <xf numFmtId="0" fontId="6" fillId="2" borderId="0" xfId="0" applyFont="1" applyFill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" xfId="0" applyFont="1" applyFill="1" applyBorder="1">
      <alignment vertical="center"/>
    </xf>
    <xf numFmtId="2" fontId="3" fillId="2" borderId="2" xfId="0" applyNumberFormat="1" applyFont="1" applyFill="1" applyBorder="1">
      <alignment vertical="center"/>
    </xf>
    <xf numFmtId="2" fontId="3" fillId="2" borderId="33" xfId="0" applyNumberFormat="1" applyFont="1" applyFill="1" applyBorder="1">
      <alignment vertical="center"/>
    </xf>
    <xf numFmtId="2" fontId="3" fillId="2" borderId="10" xfId="0" applyNumberFormat="1" applyFont="1" applyFill="1" applyBorder="1">
      <alignment vertical="center"/>
    </xf>
    <xf numFmtId="176" fontId="3" fillId="2" borderId="2" xfId="0" applyNumberFormat="1" applyFont="1" applyFill="1" applyBorder="1">
      <alignment vertical="center"/>
    </xf>
    <xf numFmtId="2" fontId="3" fillId="2" borderId="23" xfId="0" applyNumberFormat="1" applyFont="1" applyFill="1" applyBorder="1" applyAlignment="1">
      <alignment horizontal="center" vertical="center"/>
    </xf>
    <xf numFmtId="2" fontId="3" fillId="2" borderId="24" xfId="0" applyNumberFormat="1" applyFont="1" applyFill="1" applyBorder="1" applyAlignment="1">
      <alignment horizontal="center" vertical="center"/>
    </xf>
    <xf numFmtId="2" fontId="3" fillId="2" borderId="5" xfId="0" applyNumberFormat="1" applyFont="1" applyFill="1" applyBorder="1">
      <alignment vertical="center"/>
    </xf>
    <xf numFmtId="2" fontId="3" fillId="2" borderId="8" xfId="0" applyNumberFormat="1" applyFont="1" applyFill="1" applyBorder="1">
      <alignment vertical="center"/>
    </xf>
    <xf numFmtId="177" fontId="3" fillId="2" borderId="30" xfId="0" applyNumberFormat="1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2" fontId="3" fillId="2" borderId="14" xfId="0" applyNumberFormat="1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center" vertical="center"/>
    </xf>
    <xf numFmtId="2" fontId="3" fillId="2" borderId="16" xfId="0" applyNumberFormat="1" applyFont="1" applyFill="1" applyBorder="1" applyAlignment="1">
      <alignment horizontal="center" vertical="center"/>
    </xf>
    <xf numFmtId="2" fontId="3" fillId="2" borderId="17" xfId="0" applyNumberFormat="1" applyFont="1" applyFill="1" applyBorder="1" applyAlignment="1">
      <alignment horizontal="center" vertical="center"/>
    </xf>
    <xf numFmtId="2" fontId="3" fillId="2" borderId="34" xfId="0" applyNumberFormat="1" applyFont="1" applyFill="1" applyBorder="1" applyAlignment="1">
      <alignment horizontal="center" vertical="center"/>
    </xf>
    <xf numFmtId="177" fontId="3" fillId="2" borderId="31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7" xfId="0" applyFont="1" applyFill="1" applyBorder="1">
      <alignment vertical="center"/>
    </xf>
    <xf numFmtId="180" fontId="3" fillId="2" borderId="28" xfId="0" applyNumberFormat="1" applyFont="1" applyFill="1" applyBorder="1">
      <alignment vertical="center"/>
    </xf>
    <xf numFmtId="0" fontId="5" fillId="2" borderId="0" xfId="0" applyFont="1" applyFill="1">
      <alignment vertical="center"/>
    </xf>
    <xf numFmtId="8" fontId="3" fillId="3" borderId="9" xfId="0" applyNumberFormat="1" applyFont="1" applyFill="1" applyBorder="1">
      <alignment vertical="center"/>
    </xf>
    <xf numFmtId="0" fontId="7" fillId="2" borderId="0" xfId="0" applyFont="1" applyFill="1" applyBorder="1" applyAlignment="1">
      <alignment horizontal="center" vertical="center"/>
    </xf>
    <xf numFmtId="8" fontId="3" fillId="2" borderId="0" xfId="0" applyNumberFormat="1" applyFont="1" applyFill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8" fontId="3" fillId="2" borderId="26" xfId="0" applyNumberFormat="1" applyFont="1" applyFill="1" applyBorder="1" applyAlignment="1">
      <alignment horizontal="right" vertical="center"/>
    </xf>
    <xf numFmtId="0" fontId="3" fillId="2" borderId="19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8" fontId="6" fillId="2" borderId="0" xfId="0" applyNumberFormat="1" applyFont="1" applyFill="1">
      <alignment vertical="center"/>
    </xf>
    <xf numFmtId="8" fontId="6" fillId="2" borderId="1" xfId="0" applyNumberFormat="1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6" fillId="2" borderId="0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179" fontId="3" fillId="4" borderId="0" xfId="0" applyNumberFormat="1" applyFont="1" applyFill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2" fontId="3" fillId="4" borderId="0" xfId="0" applyNumberFormat="1" applyFont="1" applyFill="1" applyBorder="1">
      <alignment vertical="center"/>
    </xf>
    <xf numFmtId="8" fontId="3" fillId="4" borderId="0" xfId="0" applyNumberFormat="1" applyFont="1" applyFill="1" applyBorder="1">
      <alignment vertical="center"/>
    </xf>
    <xf numFmtId="0" fontId="3" fillId="4" borderId="0" xfId="0" applyFont="1" applyFill="1">
      <alignment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1"/>
  <sheetViews>
    <sheetView tabSelected="1" workbookViewId="0">
      <selection activeCell="H26" sqref="H26"/>
    </sheetView>
  </sheetViews>
  <sheetFormatPr defaultRowHeight="12" x14ac:dyDescent="0.2"/>
  <cols>
    <col min="1" max="1" width="1.7109375" style="3" customWidth="1"/>
    <col min="2" max="2" width="5.42578125" style="3" bestFit="1" customWidth="1"/>
    <col min="3" max="3" width="7.28515625" style="3" bestFit="1" customWidth="1"/>
    <col min="4" max="4" width="11.85546875" style="3" bestFit="1" customWidth="1"/>
    <col min="5" max="5" width="10.7109375" style="3" bestFit="1" customWidth="1"/>
    <col min="6" max="7" width="9.7109375" style="3" bestFit="1" customWidth="1"/>
    <col min="8" max="8" width="13" style="3" bestFit="1" customWidth="1"/>
    <col min="9" max="9" width="9.7109375" style="3" bestFit="1" customWidth="1"/>
    <col min="10" max="10" width="11.140625" style="3" customWidth="1"/>
    <col min="11" max="11" width="18.7109375" style="3" bestFit="1" customWidth="1"/>
    <col min="12" max="12" width="9.140625" style="3" bestFit="1" customWidth="1"/>
    <col min="13" max="13" width="16.42578125" style="3" bestFit="1" customWidth="1"/>
    <col min="14" max="14" width="1.7109375" style="76" customWidth="1"/>
    <col min="15" max="15" width="1.28515625" style="3" customWidth="1"/>
    <col min="16" max="17" width="13" style="3" bestFit="1" customWidth="1"/>
    <col min="18" max="16384" width="9.140625" style="3"/>
  </cols>
  <sheetData>
    <row r="1" spans="2:17" x14ac:dyDescent="0.2">
      <c r="B1" s="1" t="s">
        <v>16</v>
      </c>
      <c r="C1" s="1"/>
      <c r="D1" s="2">
        <f>4.75%</f>
        <v>4.7500000000000001E-2</v>
      </c>
      <c r="J1" s="4"/>
      <c r="K1" s="1" t="s">
        <v>15</v>
      </c>
      <c r="L1" s="1"/>
      <c r="M1" s="5">
        <f>D1/2</f>
        <v>2.375E-2</v>
      </c>
      <c r="N1" s="71"/>
      <c r="O1" s="5"/>
    </row>
    <row r="2" spans="2:17" ht="24.75" thickBot="1" x14ac:dyDescent="0.25">
      <c r="B2" s="59" t="s">
        <v>19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72"/>
      <c r="O2" s="6"/>
      <c r="P2" s="70" t="s">
        <v>27</v>
      </c>
      <c r="Q2" s="70"/>
    </row>
    <row r="3" spans="2:17" x14ac:dyDescent="0.2">
      <c r="B3" s="7" t="s">
        <v>0</v>
      </c>
      <c r="C3" s="8" t="s">
        <v>1</v>
      </c>
      <c r="D3" s="9" t="s">
        <v>2</v>
      </c>
      <c r="E3" s="10"/>
      <c r="F3" s="8" t="s">
        <v>12</v>
      </c>
      <c r="G3" s="8"/>
      <c r="H3" s="8"/>
      <c r="I3" s="8"/>
      <c r="J3" s="11"/>
      <c r="K3" s="7" t="s">
        <v>10</v>
      </c>
      <c r="L3" s="8" t="s">
        <v>11</v>
      </c>
      <c r="M3" s="61" t="s">
        <v>24</v>
      </c>
      <c r="N3" s="73"/>
      <c r="O3" s="12"/>
      <c r="P3" s="65" t="s">
        <v>25</v>
      </c>
      <c r="Q3" s="35"/>
    </row>
    <row r="4" spans="2:17" ht="12.75" thickBot="1" x14ac:dyDescent="0.25">
      <c r="B4" s="13"/>
      <c r="C4" s="14"/>
      <c r="D4" s="15" t="s">
        <v>3</v>
      </c>
      <c r="E4" s="15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6" t="s">
        <v>9</v>
      </c>
      <c r="K4" s="13"/>
      <c r="L4" s="14"/>
      <c r="M4" s="62"/>
      <c r="N4" s="73"/>
      <c r="O4" s="12"/>
      <c r="P4" s="65"/>
      <c r="Q4" s="35"/>
    </row>
    <row r="5" spans="2:17" x14ac:dyDescent="0.2">
      <c r="B5" s="17"/>
      <c r="C5" s="18" t="s">
        <v>13</v>
      </c>
      <c r="D5" s="19">
        <v>5000000</v>
      </c>
      <c r="E5" s="19"/>
      <c r="F5" s="19">
        <v>75000</v>
      </c>
      <c r="G5" s="19">
        <v>15000</v>
      </c>
      <c r="H5" s="19">
        <v>100000</v>
      </c>
      <c r="I5" s="19"/>
      <c r="J5" s="20"/>
      <c r="K5" s="21">
        <f>-(D5-F5-G5-H5)</f>
        <v>-4810000</v>
      </c>
      <c r="L5" s="22">
        <v>1</v>
      </c>
      <c r="M5" s="20">
        <f>K5</f>
        <v>-4810000</v>
      </c>
      <c r="N5" s="74"/>
      <c r="O5" s="23"/>
      <c r="P5" s="66"/>
      <c r="Q5" s="35"/>
    </row>
    <row r="6" spans="2:17" x14ac:dyDescent="0.2">
      <c r="B6" s="24">
        <v>1</v>
      </c>
      <c r="C6" s="25">
        <v>1</v>
      </c>
      <c r="D6" s="26"/>
      <c r="E6" s="26"/>
      <c r="F6" s="26"/>
      <c r="G6" s="26"/>
      <c r="H6" s="26"/>
      <c r="I6" s="26">
        <v>50000</v>
      </c>
      <c r="J6" s="27">
        <v>152083.32999999999</v>
      </c>
      <c r="K6" s="28">
        <v>202083.33</v>
      </c>
      <c r="L6" s="29">
        <f>1/(1+2.375%)^1</f>
        <v>0.97680097680097688</v>
      </c>
      <c r="M6" s="30">
        <f>K6*L6</f>
        <v>197395.19413919415</v>
      </c>
      <c r="N6" s="75"/>
      <c r="O6" s="31"/>
      <c r="P6" s="67">
        <f>NPV($M$1,K6)</f>
        <v>197395.19413919415</v>
      </c>
      <c r="Q6" s="69"/>
    </row>
    <row r="7" spans="2:17" x14ac:dyDescent="0.2">
      <c r="B7" s="32"/>
      <c r="C7" s="25">
        <v>2</v>
      </c>
      <c r="D7" s="26"/>
      <c r="E7" s="26"/>
      <c r="F7" s="26"/>
      <c r="G7" s="26"/>
      <c r="H7" s="26"/>
      <c r="I7" s="26"/>
      <c r="J7" s="27">
        <v>707638.89</v>
      </c>
      <c r="K7" s="33">
        <f>J7</f>
        <v>707638.89</v>
      </c>
      <c r="L7" s="29">
        <f>1/(1+2.375%)^2</f>
        <v>0.95414014827934246</v>
      </c>
      <c r="M7" s="30">
        <f t="shared" ref="M7:M15" si="0">K7*L7</f>
        <v>675186.6754328293</v>
      </c>
      <c r="N7" s="75"/>
      <c r="O7" s="31"/>
      <c r="P7" s="67">
        <f>NPV($M$1,K7)</f>
        <v>691222.358974359</v>
      </c>
      <c r="Q7" s="69"/>
    </row>
    <row r="8" spans="2:17" x14ac:dyDescent="0.2">
      <c r="B8" s="24">
        <v>2</v>
      </c>
      <c r="C8" s="25">
        <v>3</v>
      </c>
      <c r="D8" s="26"/>
      <c r="E8" s="26"/>
      <c r="F8" s="26"/>
      <c r="G8" s="26"/>
      <c r="H8" s="26"/>
      <c r="I8" s="26"/>
      <c r="J8" s="27">
        <v>690740.74</v>
      </c>
      <c r="K8" s="33">
        <f t="shared" ref="K8:K14" si="1">J8</f>
        <v>690740.74</v>
      </c>
      <c r="L8" s="29">
        <f>1/(1+2.375%)^3</f>
        <v>0.9320050288442906</v>
      </c>
      <c r="M8" s="30">
        <f t="shared" si="0"/>
        <v>643773.84330762667</v>
      </c>
      <c r="N8" s="75"/>
      <c r="O8" s="31"/>
      <c r="P8" s="67">
        <f>NPV($M$1,K8)</f>
        <v>674716.2295482296</v>
      </c>
      <c r="Q8" s="35"/>
    </row>
    <row r="9" spans="2:17" x14ac:dyDescent="0.2">
      <c r="B9" s="32"/>
      <c r="C9" s="25">
        <v>4</v>
      </c>
      <c r="D9" s="26"/>
      <c r="E9" s="26"/>
      <c r="F9" s="26"/>
      <c r="G9" s="26"/>
      <c r="H9" s="26"/>
      <c r="I9" s="26"/>
      <c r="J9" s="27">
        <v>673842.59</v>
      </c>
      <c r="K9" s="33">
        <f t="shared" si="1"/>
        <v>673842.59</v>
      </c>
      <c r="L9" s="29">
        <f>1/(1+2.375%)^4</f>
        <v>0.91038342255852567</v>
      </c>
      <c r="M9" s="30">
        <f t="shared" si="0"/>
        <v>613455.12334990129</v>
      </c>
      <c r="N9" s="75"/>
      <c r="O9" s="31"/>
      <c r="P9" s="67">
        <f>NPV($M$1,K9)</f>
        <v>658210.10012210009</v>
      </c>
      <c r="Q9" s="35"/>
    </row>
    <row r="10" spans="2:17" x14ac:dyDescent="0.2">
      <c r="B10" s="24">
        <v>3</v>
      </c>
      <c r="C10" s="25">
        <v>5</v>
      </c>
      <c r="D10" s="26"/>
      <c r="E10" s="26"/>
      <c r="F10" s="26"/>
      <c r="G10" s="26"/>
      <c r="H10" s="26"/>
      <c r="I10" s="26"/>
      <c r="J10" s="34">
        <v>656944.43999999994</v>
      </c>
      <c r="K10" s="33">
        <f t="shared" si="1"/>
        <v>656944.43999999994</v>
      </c>
      <c r="L10" s="29">
        <f>1/(1+2.375%)^5</f>
        <v>0.88926341641858431</v>
      </c>
      <c r="M10" s="30">
        <f t="shared" si="0"/>
        <v>584196.65711159364</v>
      </c>
      <c r="N10" s="75"/>
      <c r="O10" s="31"/>
      <c r="P10" s="67">
        <f>NPV($M$1,K10)</f>
        <v>641703.9706959707</v>
      </c>
      <c r="Q10" s="35"/>
    </row>
    <row r="11" spans="2:17" x14ac:dyDescent="0.2">
      <c r="B11" s="32"/>
      <c r="C11" s="25">
        <v>6</v>
      </c>
      <c r="D11" s="26"/>
      <c r="E11" s="26"/>
      <c r="F11" s="26"/>
      <c r="G11" s="26"/>
      <c r="H11" s="26"/>
      <c r="I11" s="26"/>
      <c r="J11" s="27">
        <v>640046.30000000005</v>
      </c>
      <c r="K11" s="33">
        <f t="shared" si="1"/>
        <v>640046.30000000005</v>
      </c>
      <c r="L11" s="29">
        <f>1/(1+2.375%)^6</f>
        <v>0.86863337379104699</v>
      </c>
      <c r="M11" s="30">
        <f t="shared" si="0"/>
        <v>555965.57695147663</v>
      </c>
      <c r="N11" s="75"/>
      <c r="O11" s="31"/>
      <c r="P11" s="67">
        <f>NPV($M$1,K11)</f>
        <v>625197.85103785107</v>
      </c>
      <c r="Q11" s="35"/>
    </row>
    <row r="12" spans="2:17" x14ac:dyDescent="0.2">
      <c r="B12" s="24">
        <v>4</v>
      </c>
      <c r="C12" s="25">
        <v>7</v>
      </c>
      <c r="D12" s="26"/>
      <c r="E12" s="26"/>
      <c r="F12" s="26"/>
      <c r="G12" s="26"/>
      <c r="H12" s="26"/>
      <c r="I12" s="26"/>
      <c r="J12" s="27">
        <v>623148.15</v>
      </c>
      <c r="K12" s="33">
        <f t="shared" si="1"/>
        <v>623148.15</v>
      </c>
      <c r="L12" s="29">
        <f>1/(1+2.375%)^7</f>
        <v>0.84848192800102262</v>
      </c>
      <c r="M12" s="30">
        <f t="shared" si="0"/>
        <v>528729.94374227047</v>
      </c>
      <c r="N12" s="75"/>
      <c r="O12" s="31"/>
      <c r="P12" s="67">
        <f>NPV($M$1,K12)</f>
        <v>608691.72161172167</v>
      </c>
      <c r="Q12" s="35" t="s">
        <v>21</v>
      </c>
    </row>
    <row r="13" spans="2:17" x14ac:dyDescent="0.2">
      <c r="B13" s="32"/>
      <c r="C13" s="25">
        <v>8</v>
      </c>
      <c r="D13" s="26"/>
      <c r="E13" s="26"/>
      <c r="F13" s="26"/>
      <c r="G13" s="26"/>
      <c r="H13" s="26"/>
      <c r="I13" s="26"/>
      <c r="J13" s="27">
        <v>606250</v>
      </c>
      <c r="K13" s="33">
        <f t="shared" si="1"/>
        <v>606250</v>
      </c>
      <c r="L13" s="29">
        <f>1/(1+2.375%)^8</f>
        <v>0.82879797606937522</v>
      </c>
      <c r="M13" s="58">
        <f>K13*L13</f>
        <v>502458.77299205872</v>
      </c>
      <c r="N13" s="75"/>
      <c r="O13" s="31"/>
      <c r="P13" s="67">
        <f>NPV($M$1,K13)</f>
        <v>592185.59218559228</v>
      </c>
      <c r="Q13" s="35"/>
    </row>
    <row r="14" spans="2:17" x14ac:dyDescent="0.2">
      <c r="B14" s="24">
        <v>5</v>
      </c>
      <c r="C14" s="25">
        <v>9</v>
      </c>
      <c r="D14" s="26"/>
      <c r="E14" s="26"/>
      <c r="F14" s="26"/>
      <c r="G14" s="26"/>
      <c r="H14" s="26"/>
      <c r="I14" s="26"/>
      <c r="J14" s="27">
        <v>589351.85</v>
      </c>
      <c r="K14" s="33">
        <f t="shared" si="1"/>
        <v>589351.85</v>
      </c>
      <c r="L14" s="29">
        <f>1/(1+2.375%)^9</f>
        <v>0.80957067259523829</v>
      </c>
      <c r="M14" s="58">
        <f t="shared" si="0"/>
        <v>477121.97359974799</v>
      </c>
      <c r="N14" s="75"/>
      <c r="O14" s="31"/>
      <c r="P14" s="67">
        <f>NPV($M$1,K14)</f>
        <v>575679.46275946277</v>
      </c>
      <c r="Q14" s="35"/>
    </row>
    <row r="15" spans="2:17" ht="12.75" thickBot="1" x14ac:dyDescent="0.25">
      <c r="B15" s="36"/>
      <c r="C15" s="37">
        <v>10</v>
      </c>
      <c r="D15" s="38"/>
      <c r="E15" s="38">
        <v>107500</v>
      </c>
      <c r="F15" s="38"/>
      <c r="G15" s="38"/>
      <c r="H15" s="38"/>
      <c r="I15" s="38"/>
      <c r="J15" s="39">
        <v>572453.69999999995</v>
      </c>
      <c r="K15" s="40">
        <f>J15-E15</f>
        <v>464953.69999999995</v>
      </c>
      <c r="L15" s="41">
        <f>1/(1+2.375%)^10</f>
        <v>0.79078942378045258</v>
      </c>
      <c r="M15" s="30">
        <f t="shared" si="0"/>
        <v>367680.46850758936</v>
      </c>
      <c r="N15" s="75"/>
      <c r="O15" s="31"/>
      <c r="P15" s="67">
        <f>NPV($M$1,K15)</f>
        <v>454167.22832722828</v>
      </c>
      <c r="Q15" s="35"/>
    </row>
    <row r="16" spans="2:17" x14ac:dyDescent="0.2">
      <c r="B16" s="7" t="s">
        <v>14</v>
      </c>
      <c r="C16" s="8"/>
      <c r="D16" s="42">
        <f>D5+E15</f>
        <v>5107500</v>
      </c>
      <c r="E16" s="43"/>
      <c r="F16" s="44">
        <v>75000</v>
      </c>
      <c r="G16" s="44">
        <v>15000</v>
      </c>
      <c r="H16" s="44">
        <v>100000</v>
      </c>
      <c r="I16" s="44">
        <v>50000</v>
      </c>
      <c r="J16" s="45">
        <f>SUM(J6:J15)</f>
        <v>5912499.9899999993</v>
      </c>
      <c r="K16" s="46">
        <f>SUM(K5:K15)</f>
        <v>1044999.9899999998</v>
      </c>
      <c r="L16" s="47"/>
      <c r="M16" s="63">
        <f>SUM(M5:M15)</f>
        <v>335964.22913428745</v>
      </c>
      <c r="N16" s="73"/>
      <c r="O16" s="12"/>
      <c r="P16" s="35"/>
      <c r="Q16" s="35"/>
    </row>
    <row r="17" spans="2:17" ht="12.75" thickBot="1" x14ac:dyDescent="0.25">
      <c r="B17" s="13"/>
      <c r="C17" s="14"/>
      <c r="D17" s="48"/>
      <c r="E17" s="49"/>
      <c r="F17" s="50">
        <f>SUM(F16:J16)</f>
        <v>6152499.9899999993</v>
      </c>
      <c r="G17" s="51"/>
      <c r="H17" s="51"/>
      <c r="I17" s="51"/>
      <c r="J17" s="52"/>
      <c r="K17" s="53"/>
      <c r="L17" s="54"/>
      <c r="M17" s="64"/>
      <c r="N17" s="73"/>
      <c r="O17" s="12"/>
      <c r="P17" s="68" t="s">
        <v>26</v>
      </c>
      <c r="Q17" s="67">
        <f>NPV(M1,K5:K15)</f>
        <v>328170.18718855898</v>
      </c>
    </row>
    <row r="18" spans="2:17" ht="12.75" thickBot="1" x14ac:dyDescent="0.25"/>
    <row r="19" spans="2:17" ht="12.75" thickBot="1" x14ac:dyDescent="0.25">
      <c r="J19" s="55" t="s">
        <v>18</v>
      </c>
      <c r="K19" s="56">
        <f>IRR(K5:K15)</f>
        <v>3.6690980528746309E-2</v>
      </c>
    </row>
    <row r="20" spans="2:17" ht="12.75" thickBot="1" x14ac:dyDescent="0.25">
      <c r="J20" s="55" t="s">
        <v>17</v>
      </c>
      <c r="K20" s="56">
        <f>IRR(K5:K15)*2</f>
        <v>7.3381961057492617E-2</v>
      </c>
    </row>
    <row r="21" spans="2:17" x14ac:dyDescent="0.2">
      <c r="J21" s="57" t="s">
        <v>20</v>
      </c>
      <c r="K21" s="57">
        <f>4.75/360*365</f>
        <v>4.8159722222222223</v>
      </c>
      <c r="M21" s="60"/>
    </row>
    <row r="28" spans="2:17" x14ac:dyDescent="0.2">
      <c r="L28" s="3" t="s">
        <v>22</v>
      </c>
    </row>
    <row r="31" spans="2:17" x14ac:dyDescent="0.2">
      <c r="K31" s="3" t="s">
        <v>23</v>
      </c>
      <c r="L31" s="3" t="s">
        <v>22</v>
      </c>
    </row>
  </sheetData>
  <mergeCells count="23">
    <mergeCell ref="P3:P4"/>
    <mergeCell ref="P2:Q2"/>
    <mergeCell ref="K16:K17"/>
    <mergeCell ref="L16:L17"/>
    <mergeCell ref="M16:M17"/>
    <mergeCell ref="K1:L1"/>
    <mergeCell ref="B1:C1"/>
    <mergeCell ref="B10:B11"/>
    <mergeCell ref="B12:B13"/>
    <mergeCell ref="B14:B15"/>
    <mergeCell ref="B16:C17"/>
    <mergeCell ref="D16:E17"/>
    <mergeCell ref="F17:J17"/>
    <mergeCell ref="L3:L4"/>
    <mergeCell ref="M3:M4"/>
    <mergeCell ref="B2:M2"/>
    <mergeCell ref="B6:B7"/>
    <mergeCell ref="B8:B9"/>
    <mergeCell ref="C3:C4"/>
    <mergeCell ref="B3:B4"/>
    <mergeCell ref="D3:E3"/>
    <mergeCell ref="F3:J3"/>
    <mergeCell ref="K3:K4"/>
  </mergeCells>
  <phoneticPr fontId="2" type="noConversion"/>
  <pageMargins left="0.7" right="0.7" top="0.75" bottom="0.75" header="0.3" footer="0.3"/>
  <ignoredErrors>
    <ignoredError sqref="K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现金流量表</vt:lpstr>
    </vt:vector>
  </TitlesOfParts>
  <Company>融资租赁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坤FL</dc:creator>
  <cp:lastModifiedBy>坤FL</cp:lastModifiedBy>
  <dcterms:created xsi:type="dcterms:W3CDTF">2016-02-28T09:31:53Z</dcterms:created>
  <dcterms:modified xsi:type="dcterms:W3CDTF">2016-03-01T14:13:52Z</dcterms:modified>
</cp:coreProperties>
</file>