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E:\Windesktop\"/>
    </mc:Choice>
  </mc:AlternateContent>
  <bookViews>
    <workbookView xWindow="0" yWindow="0" windowWidth="20490" windowHeight="7755"/>
  </bookViews>
  <sheets>
    <sheet name="正常测算" sheetId="1" r:id="rId1"/>
    <sheet name="指标还原" sheetId="2" r:id="rId2"/>
    <sheet name="产品成本表" sheetId="3" state="hidden" r:id="rId3"/>
    <sheet name="利润预估" sheetId="4" r:id="rId4"/>
    <sheet name="附1-流程意见" sheetId="5" r:id="rId5"/>
    <sheet name="附2-版本说明" sheetId="6" r:id="rId6"/>
  </sheets>
  <calcPr calcId="152511"/>
</workbook>
</file>

<file path=xl/calcChain.xml><?xml version="1.0" encoding="utf-8"?>
<calcChain xmlns="http://schemas.openxmlformats.org/spreadsheetml/2006/main">
  <c r="G12" i="1" l="1"/>
  <c r="Q3" i="1"/>
  <c r="R5" i="1" s="1"/>
  <c r="E13" i="3"/>
  <c r="E5" i="2"/>
  <c r="L17" i="4"/>
  <c r="L16" i="4"/>
  <c r="L15" i="4"/>
  <c r="L14" i="4"/>
  <c r="L13" i="4"/>
  <c r="L12" i="4"/>
  <c r="L11" i="4"/>
  <c r="L10" i="4"/>
  <c r="L9" i="4"/>
  <c r="L8" i="4"/>
  <c r="L7" i="4"/>
  <c r="L6" i="4"/>
  <c r="L5" i="4"/>
  <c r="L4" i="4"/>
  <c r="L3" i="4"/>
  <c r="K17" i="4"/>
  <c r="K16" i="4"/>
  <c r="K15" i="4"/>
  <c r="K14" i="4"/>
  <c r="K13" i="4"/>
  <c r="K12" i="4"/>
  <c r="K11" i="4"/>
  <c r="K10" i="4"/>
  <c r="K9" i="4"/>
  <c r="K8" i="4"/>
  <c r="K7" i="4"/>
  <c r="K6" i="4"/>
  <c r="K5" i="4"/>
  <c r="K4" i="4"/>
  <c r="K3" i="4"/>
  <c r="J3" i="4"/>
  <c r="F9" i="4"/>
  <c r="F8" i="4"/>
  <c r="J4" i="4"/>
  <c r="D5" i="4"/>
  <c r="E5" i="4"/>
  <c r="J5" i="4"/>
  <c r="I5" i="4"/>
  <c r="G5" i="4"/>
  <c r="H5" i="4"/>
  <c r="D6" i="4"/>
  <c r="E6" i="4"/>
  <c r="J6" i="4"/>
  <c r="I6" i="4"/>
  <c r="G6" i="4"/>
  <c r="H6" i="4"/>
  <c r="D7" i="4"/>
  <c r="E7" i="4"/>
  <c r="J7" i="4"/>
  <c r="I7" i="4"/>
  <c r="G7" i="4"/>
  <c r="H7" i="4"/>
  <c r="D8" i="4"/>
  <c r="E8" i="4"/>
  <c r="J8" i="4"/>
  <c r="I8" i="4"/>
  <c r="G8" i="4"/>
  <c r="H8" i="4"/>
  <c r="D9" i="4"/>
  <c r="E9" i="4"/>
  <c r="J9" i="4"/>
  <c r="I9" i="4"/>
  <c r="G9" i="4"/>
  <c r="H9" i="4"/>
  <c r="D10" i="4"/>
  <c r="J10" i="4"/>
  <c r="I10" i="4"/>
  <c r="H10" i="4"/>
  <c r="D11" i="4"/>
  <c r="J11" i="4"/>
  <c r="I11" i="4"/>
  <c r="H11" i="4"/>
  <c r="D12" i="4"/>
  <c r="E12" i="4"/>
  <c r="J12" i="4"/>
  <c r="I12" i="4"/>
  <c r="G12" i="4"/>
  <c r="H12" i="4"/>
  <c r="J13" i="4"/>
  <c r="D14" i="4"/>
  <c r="J14" i="4"/>
  <c r="I14" i="4"/>
  <c r="H14" i="4"/>
  <c r="D15" i="4"/>
  <c r="J15" i="4"/>
  <c r="I15" i="4"/>
  <c r="H15" i="4"/>
  <c r="D16" i="4"/>
  <c r="J16" i="4"/>
  <c r="I16" i="4"/>
  <c r="H16" i="4"/>
  <c r="J17" i="4"/>
  <c r="M17" i="4" s="1"/>
  <c r="C4" i="4"/>
  <c r="C5" i="4"/>
  <c r="C6" i="4"/>
  <c r="C7" i="4"/>
  <c r="C8" i="4"/>
  <c r="C9" i="4"/>
  <c r="C10" i="4"/>
  <c r="C11" i="4"/>
  <c r="C12" i="4"/>
  <c r="C13" i="4"/>
  <c r="C14" i="4"/>
  <c r="C15" i="4"/>
  <c r="C16" i="4"/>
  <c r="C17" i="4"/>
  <c r="C3" i="4"/>
  <c r="B5" i="4"/>
  <c r="B6" i="4"/>
  <c r="B10" i="4"/>
  <c r="B11" i="4"/>
  <c r="B12" i="4"/>
  <c r="B13" i="4"/>
  <c r="B14" i="4"/>
  <c r="B17" i="4"/>
  <c r="B4" i="4"/>
  <c r="B1" i="4"/>
  <c r="H134" i="2"/>
  <c r="H133" i="2"/>
  <c r="H132" i="2"/>
  <c r="H131" i="2"/>
  <c r="H130" i="2"/>
  <c r="H129" i="2"/>
  <c r="H128" i="2"/>
  <c r="H127" i="2"/>
  <c r="H126" i="2"/>
  <c r="H125" i="2"/>
  <c r="H124" i="2"/>
  <c r="H123" i="2"/>
  <c r="H122" i="2"/>
  <c r="H121" i="2"/>
  <c r="H120" i="2"/>
  <c r="H119" i="2"/>
  <c r="H118" i="2"/>
  <c r="H117" i="2"/>
  <c r="H116" i="2"/>
  <c r="H115" i="2"/>
  <c r="H114" i="2"/>
  <c r="H113" i="2"/>
  <c r="H112" i="2"/>
  <c r="H111" i="2"/>
  <c r="H110" i="2"/>
  <c r="H109" i="2"/>
  <c r="H108" i="2"/>
  <c r="H107" i="2"/>
  <c r="H106" i="2"/>
  <c r="H105" i="2"/>
  <c r="H104" i="2"/>
  <c r="H103" i="2"/>
  <c r="H102" i="2"/>
  <c r="H101" i="2"/>
  <c r="H100" i="2"/>
  <c r="H99" i="2"/>
  <c r="H98" i="2"/>
  <c r="H97" i="2"/>
  <c r="H96" i="2"/>
  <c r="H95" i="2"/>
  <c r="H94" i="2"/>
  <c r="H93" i="2"/>
  <c r="H92" i="2"/>
  <c r="H91" i="2"/>
  <c r="H90" i="2"/>
  <c r="H89" i="2"/>
  <c r="H88" i="2"/>
  <c r="H87" i="2"/>
  <c r="H86" i="2"/>
  <c r="H85" i="2"/>
  <c r="H84" i="2"/>
  <c r="H83" i="2"/>
  <c r="H82" i="2"/>
  <c r="H81" i="2"/>
  <c r="H80" i="2"/>
  <c r="H79" i="2"/>
  <c r="H78" i="2"/>
  <c r="H77" i="2"/>
  <c r="H76" i="2"/>
  <c r="H75" i="2"/>
  <c r="H74" i="2"/>
  <c r="H73" i="2"/>
  <c r="H72" i="2"/>
  <c r="H71" i="2"/>
  <c r="H70" i="2"/>
  <c r="H69" i="2"/>
  <c r="H68" i="2"/>
  <c r="H67" i="2"/>
  <c r="H66" i="2"/>
  <c r="H65" i="2"/>
  <c r="H64" i="2"/>
  <c r="H63" i="2"/>
  <c r="H62" i="2"/>
  <c r="H61" i="2"/>
  <c r="H60" i="2"/>
  <c r="H59" i="2"/>
  <c r="H58" i="2"/>
  <c r="H57" i="2"/>
  <c r="H56" i="2"/>
  <c r="H55" i="2"/>
  <c r="H54" i="2"/>
  <c r="H53" i="2"/>
  <c r="H52" i="2"/>
  <c r="H51" i="2"/>
  <c r="H50" i="2"/>
  <c r="H49" i="2"/>
  <c r="H48" i="2"/>
  <c r="H47" i="2"/>
  <c r="H46" i="2"/>
  <c r="H45" i="2"/>
  <c r="H44" i="2"/>
  <c r="H43" i="2"/>
  <c r="H42" i="2"/>
  <c r="H41" i="2"/>
  <c r="H40" i="2"/>
  <c r="H39" i="2"/>
  <c r="H38" i="2"/>
  <c r="H37" i="2"/>
  <c r="H36" i="2"/>
  <c r="H35" i="2"/>
  <c r="H34" i="2"/>
  <c r="H33" i="2"/>
  <c r="H32" i="2"/>
  <c r="H31" i="2"/>
  <c r="H30" i="2"/>
  <c r="H29" i="2"/>
  <c r="H28" i="2"/>
  <c r="H27" i="2"/>
  <c r="H26" i="2"/>
  <c r="H25" i="2"/>
  <c r="H24" i="2"/>
  <c r="H23" i="2"/>
  <c r="H22" i="2"/>
  <c r="H21" i="2"/>
  <c r="H20" i="2"/>
  <c r="H19" i="2"/>
  <c r="H18" i="2"/>
  <c r="H17" i="2"/>
  <c r="H16" i="2"/>
  <c r="H15" i="2"/>
  <c r="H14" i="2"/>
  <c r="H13" i="2"/>
  <c r="H11" i="2" s="1"/>
  <c r="H12" i="2"/>
  <c r="G7" i="2"/>
  <c r="H1" i="2"/>
  <c r="R15" i="2"/>
  <c r="E9" i="2"/>
  <c r="B8" i="3"/>
  <c r="B8" i="4" s="1"/>
  <c r="B9" i="3"/>
  <c r="B9" i="4" s="1"/>
  <c r="B7" i="3"/>
  <c r="B7" i="4" s="1"/>
  <c r="G2" i="2"/>
  <c r="L2" i="2" s="1"/>
  <c r="F147" i="3"/>
  <c r="B1" i="3"/>
  <c r="C26" i="3"/>
  <c r="C27" i="3"/>
  <c r="C28" i="3"/>
  <c r="C29" i="3"/>
  <c r="C30" i="3"/>
  <c r="C31" i="3"/>
  <c r="C32" i="3"/>
  <c r="C33" i="3"/>
  <c r="C34" i="3"/>
  <c r="C35" i="3"/>
  <c r="C36" i="3"/>
  <c r="C37" i="3"/>
  <c r="C38" i="3"/>
  <c r="C39" i="3"/>
  <c r="C40" i="3"/>
  <c r="C41" i="3"/>
  <c r="C42" i="3"/>
  <c r="C43" i="3"/>
  <c r="C44" i="3"/>
  <c r="C45" i="3"/>
  <c r="C46" i="3"/>
  <c r="C47" i="3"/>
  <c r="C48" i="3"/>
  <c r="C49" i="3"/>
  <c r="C50" i="3"/>
  <c r="C51" i="3"/>
  <c r="C52" i="3"/>
  <c r="C53" i="3"/>
  <c r="C54" i="3"/>
  <c r="C55" i="3"/>
  <c r="C56" i="3"/>
  <c r="C57" i="3"/>
  <c r="C58" i="3"/>
  <c r="C59" i="3"/>
  <c r="C60" i="3"/>
  <c r="C61" i="3"/>
  <c r="C62" i="3"/>
  <c r="C63" i="3"/>
  <c r="C64" i="3"/>
  <c r="C65" i="3"/>
  <c r="C66" i="3"/>
  <c r="C67" i="3"/>
  <c r="C68" i="3"/>
  <c r="C69" i="3"/>
  <c r="C70" i="3"/>
  <c r="C71" i="3"/>
  <c r="C72" i="3"/>
  <c r="C73" i="3"/>
  <c r="C74" i="3"/>
  <c r="C75" i="3"/>
  <c r="C76" i="3"/>
  <c r="C77" i="3"/>
  <c r="C78" i="3"/>
  <c r="C79" i="3"/>
  <c r="C80" i="3"/>
  <c r="C81" i="3"/>
  <c r="C82" i="3"/>
  <c r="C83" i="3"/>
  <c r="C84" i="3"/>
  <c r="C85" i="3"/>
  <c r="C86" i="3"/>
  <c r="C87" i="3"/>
  <c r="C88" i="3"/>
  <c r="C89" i="3"/>
  <c r="C90" i="3"/>
  <c r="C91" i="3"/>
  <c r="C92" i="3"/>
  <c r="C93" i="3"/>
  <c r="C94" i="3"/>
  <c r="C95" i="3"/>
  <c r="C96" i="3"/>
  <c r="C97" i="3"/>
  <c r="C98" i="3"/>
  <c r="C99" i="3"/>
  <c r="C100" i="3"/>
  <c r="C101" i="3"/>
  <c r="C102" i="3"/>
  <c r="C103" i="3"/>
  <c r="C104" i="3"/>
  <c r="C105" i="3"/>
  <c r="C106" i="3"/>
  <c r="C107" i="3"/>
  <c r="C108" i="3"/>
  <c r="C109" i="3"/>
  <c r="C110" i="3"/>
  <c r="C111" i="3"/>
  <c r="C112" i="3"/>
  <c r="C113" i="3"/>
  <c r="C114" i="3"/>
  <c r="C115" i="3"/>
  <c r="C116" i="3"/>
  <c r="C117" i="3"/>
  <c r="C118" i="3"/>
  <c r="C119" i="3"/>
  <c r="C120" i="3"/>
  <c r="C121" i="3"/>
  <c r="C122" i="3"/>
  <c r="C123" i="3"/>
  <c r="C124" i="3"/>
  <c r="C125" i="3"/>
  <c r="C126" i="3"/>
  <c r="C127" i="3"/>
  <c r="C128" i="3"/>
  <c r="C129" i="3"/>
  <c r="C130" i="3"/>
  <c r="C131" i="3"/>
  <c r="C132" i="3"/>
  <c r="C133" i="3"/>
  <c r="C134" i="3"/>
  <c r="C135" i="3"/>
  <c r="C136" i="3"/>
  <c r="C137" i="3"/>
  <c r="C138" i="3"/>
  <c r="C139" i="3"/>
  <c r="C140" i="3"/>
  <c r="C141" i="3"/>
  <c r="C142" i="3"/>
  <c r="C143" i="3"/>
  <c r="C144" i="3"/>
  <c r="C145" i="3"/>
  <c r="C146" i="3"/>
  <c r="C147" i="3"/>
  <c r="C25" i="3"/>
  <c r="A23" i="3"/>
  <c r="E2" i="2"/>
  <c r="C2" i="2"/>
  <c r="J2" i="2" s="1"/>
  <c r="G6" i="2"/>
  <c r="G8" i="2"/>
  <c r="G9" i="2"/>
  <c r="G10" i="2"/>
  <c r="G5" i="2"/>
  <c r="E10" i="2"/>
  <c r="E6" i="2"/>
  <c r="E7" i="2"/>
  <c r="B13" i="2" s="1"/>
  <c r="C8" i="2"/>
  <c r="C9" i="2"/>
  <c r="C10" i="2"/>
  <c r="C7" i="2"/>
  <c r="C6" i="2"/>
  <c r="C5" i="2"/>
  <c r="F12" i="2" s="1"/>
  <c r="A12" i="1"/>
  <c r="S11" i="1" s="1"/>
  <c r="B13" i="1"/>
  <c r="P13" i="1" s="1"/>
  <c r="B14" i="1"/>
  <c r="B15" i="1"/>
  <c r="B16" i="1"/>
  <c r="B17" i="1"/>
  <c r="B18" i="1"/>
  <c r="B19" i="1"/>
  <c r="B20" i="1"/>
  <c r="B21" i="1"/>
  <c r="B22" i="1"/>
  <c r="B23" i="1"/>
  <c r="B24" i="1"/>
  <c r="B25" i="1"/>
  <c r="B26" i="1"/>
  <c r="B27" i="1"/>
  <c r="B28" i="1"/>
  <c r="B29" i="1"/>
  <c r="B30" i="1"/>
  <c r="B31" i="1"/>
  <c r="B32" i="1"/>
  <c r="B33" i="1"/>
  <c r="B34" i="1"/>
  <c r="B35" i="1"/>
  <c r="B36" i="1"/>
  <c r="B37" i="1"/>
  <c r="B38" i="1"/>
  <c r="B39" i="1"/>
  <c r="B40" i="1"/>
  <c r="B41" i="1"/>
  <c r="B42" i="1"/>
  <c r="B43" i="1"/>
  <c r="B44" i="1"/>
  <c r="B45" i="1"/>
  <c r="B46" i="1"/>
  <c r="B47" i="1"/>
  <c r="B48" i="1"/>
  <c r="B49" i="1"/>
  <c r="B50" i="1"/>
  <c r="B51" i="1"/>
  <c r="B52" i="1"/>
  <c r="D52" i="1" s="1"/>
  <c r="D52" i="2" s="1"/>
  <c r="B53" i="1"/>
  <c r="C53" i="1" s="1"/>
  <c r="B54" i="1"/>
  <c r="O54" i="1"/>
  <c r="B55" i="1"/>
  <c r="D55" i="1" s="1"/>
  <c r="D55" i="2" s="1"/>
  <c r="B56" i="1"/>
  <c r="B57" i="1"/>
  <c r="B58" i="1"/>
  <c r="D58" i="1" s="1"/>
  <c r="D58" i="2" s="1"/>
  <c r="B59" i="1"/>
  <c r="A59" i="1" s="1"/>
  <c r="S59" i="1" s="1"/>
  <c r="B60" i="1"/>
  <c r="B61" i="1"/>
  <c r="B62" i="1"/>
  <c r="E62" i="1" s="1"/>
  <c r="B63" i="1"/>
  <c r="E63" i="1" s="1"/>
  <c r="B64" i="1"/>
  <c r="B65" i="1"/>
  <c r="B66" i="1"/>
  <c r="A66" i="1" s="1"/>
  <c r="B67" i="1"/>
  <c r="P67" i="1" s="1"/>
  <c r="B68" i="1"/>
  <c r="F68" i="1" s="1"/>
  <c r="B69" i="1"/>
  <c r="B70" i="1"/>
  <c r="B71" i="1"/>
  <c r="C71" i="1" s="1"/>
  <c r="C71" i="2" s="1"/>
  <c r="G71" i="2" s="1"/>
  <c r="T71" i="2" s="1"/>
  <c r="B72" i="1"/>
  <c r="B73" i="1"/>
  <c r="B74" i="1"/>
  <c r="B75" i="1"/>
  <c r="A75" i="1" s="1"/>
  <c r="I74" i="1" s="1"/>
  <c r="J75" i="1" s="1"/>
  <c r="B76" i="1"/>
  <c r="B77" i="1"/>
  <c r="B78" i="1"/>
  <c r="O78" i="1" s="1"/>
  <c r="B79" i="1"/>
  <c r="C79" i="1" s="1"/>
  <c r="C79" i="2" s="1"/>
  <c r="G79" i="2" s="1"/>
  <c r="T79" i="2" s="1"/>
  <c r="B80" i="1"/>
  <c r="F80" i="1" s="1"/>
  <c r="B81" i="1"/>
  <c r="O81" i="1"/>
  <c r="B82" i="1"/>
  <c r="O82" i="1" s="1"/>
  <c r="B83" i="1"/>
  <c r="B84" i="1"/>
  <c r="B85" i="1"/>
  <c r="B86" i="1"/>
  <c r="E86" i="1" s="1"/>
  <c r="B87" i="1"/>
  <c r="B88" i="1"/>
  <c r="D88" i="1"/>
  <c r="D88" i="2" s="1"/>
  <c r="B89" i="1"/>
  <c r="F89" i="1" s="1"/>
  <c r="B90" i="1"/>
  <c r="B91" i="1"/>
  <c r="B92" i="1"/>
  <c r="B93" i="1"/>
  <c r="O93" i="1" s="1"/>
  <c r="B94" i="1"/>
  <c r="P94" i="1" s="1"/>
  <c r="B95" i="1"/>
  <c r="B96" i="1"/>
  <c r="A96" i="1" s="1"/>
  <c r="B97" i="1"/>
  <c r="B98" i="1"/>
  <c r="P98" i="1" s="1"/>
  <c r="B99" i="1"/>
  <c r="B100" i="1"/>
  <c r="F100" i="1" s="1"/>
  <c r="B101" i="1"/>
  <c r="B102" i="1"/>
  <c r="B103" i="1"/>
  <c r="B104" i="1"/>
  <c r="O104" i="1" s="1"/>
  <c r="B105" i="1"/>
  <c r="O105" i="1" s="1"/>
  <c r="B106" i="1"/>
  <c r="B107" i="1"/>
  <c r="B108" i="1"/>
  <c r="B109" i="1"/>
  <c r="B110" i="1"/>
  <c r="B111" i="1"/>
  <c r="F111" i="1" s="1"/>
  <c r="B112" i="1"/>
  <c r="B113" i="1"/>
  <c r="B114" i="1"/>
  <c r="B115" i="1"/>
  <c r="E115" i="1" s="1"/>
  <c r="B116" i="1"/>
  <c r="B117" i="1"/>
  <c r="B118" i="1"/>
  <c r="F118" i="1" s="1"/>
  <c r="B119" i="1"/>
  <c r="B120" i="1"/>
  <c r="B121" i="1"/>
  <c r="B122" i="1"/>
  <c r="O122" i="1" s="1"/>
  <c r="B123" i="1"/>
  <c r="D123" i="1"/>
  <c r="D123" i="2" s="1"/>
  <c r="B124" i="1"/>
  <c r="B125" i="1"/>
  <c r="B126" i="1"/>
  <c r="B127" i="1"/>
  <c r="B128" i="1"/>
  <c r="B129" i="1"/>
  <c r="B130" i="1"/>
  <c r="D130" i="1" s="1"/>
  <c r="D130" i="2" s="1"/>
  <c r="B131" i="1"/>
  <c r="B132" i="1"/>
  <c r="B133" i="1"/>
  <c r="B134" i="1"/>
  <c r="P134" i="1" s="1"/>
  <c r="F12" i="1"/>
  <c r="E8" i="1" s="1"/>
  <c r="L2" i="1"/>
  <c r="T12" i="1" s="1"/>
  <c r="K2" i="1"/>
  <c r="H11" i="1"/>
  <c r="R11" i="1"/>
  <c r="J2" i="1"/>
  <c r="A4" i="1" s="1"/>
  <c r="N2" i="1"/>
  <c r="M2" i="1"/>
  <c r="I17" i="4"/>
  <c r="H17" i="4"/>
  <c r="D17" i="4"/>
  <c r="A12" i="2"/>
  <c r="E10" i="4"/>
  <c r="G10" i="4"/>
  <c r="F5" i="4"/>
  <c r="F10" i="4"/>
  <c r="C24" i="3"/>
  <c r="E24" i="3"/>
  <c r="F15" i="4"/>
  <c r="F12" i="4"/>
  <c r="I13" i="4"/>
  <c r="H13" i="4"/>
  <c r="G15" i="4"/>
  <c r="E15" i="4"/>
  <c r="E13" i="4"/>
  <c r="D13" i="4"/>
  <c r="G13" i="4"/>
  <c r="E16" i="4"/>
  <c r="G16" i="4"/>
  <c r="G14" i="4"/>
  <c r="E14" i="4"/>
  <c r="G11" i="4"/>
  <c r="E11" i="4"/>
  <c r="E17" i="4"/>
  <c r="G17" i="4"/>
  <c r="F13" i="4"/>
  <c r="F16" i="4"/>
  <c r="F11" i="4"/>
  <c r="F14" i="4"/>
  <c r="F6" i="4"/>
  <c r="F7" i="4"/>
  <c r="H4" i="4"/>
  <c r="I4" i="4"/>
  <c r="D4" i="4"/>
  <c r="N12" i="1"/>
  <c r="F4" i="4"/>
  <c r="G4" i="4"/>
  <c r="E4" i="4"/>
  <c r="A67" i="1"/>
  <c r="P54" i="1"/>
  <c r="O49" i="1"/>
  <c r="D115" i="1"/>
  <c r="D115" i="2" s="1"/>
  <c r="A94" i="1"/>
  <c r="E94" i="1"/>
  <c r="P91" i="1"/>
  <c r="P79" i="1"/>
  <c r="O115" i="1"/>
  <c r="C82" i="1"/>
  <c r="G82" i="1" s="1"/>
  <c r="T82" i="1" s="1"/>
  <c r="F125" i="1"/>
  <c r="C60" i="1"/>
  <c r="G60" i="1" s="1"/>
  <c r="T60" i="1" s="1"/>
  <c r="A60" i="1"/>
  <c r="P60" i="1"/>
  <c r="O60" i="1"/>
  <c r="E98" i="1"/>
  <c r="D117" i="1"/>
  <c r="D117" i="2" s="1"/>
  <c r="E31" i="3"/>
  <c r="E37" i="3"/>
  <c r="E32" i="3"/>
  <c r="E38" i="3"/>
  <c r="E48" i="3"/>
  <c r="R35" i="2"/>
  <c r="E56" i="3"/>
  <c r="E64" i="3"/>
  <c r="R51" i="2"/>
  <c r="E62" i="3"/>
  <c r="E76" i="3"/>
  <c r="E80" i="3"/>
  <c r="E84" i="3"/>
  <c r="E88" i="3"/>
  <c r="E92" i="3"/>
  <c r="E96" i="3"/>
  <c r="E100" i="3"/>
  <c r="E104" i="3"/>
  <c r="E108" i="3"/>
  <c r="E112" i="3"/>
  <c r="E116" i="3"/>
  <c r="E120" i="3"/>
  <c r="E124" i="3"/>
  <c r="E128" i="3"/>
  <c r="E132" i="3"/>
  <c r="E136" i="3"/>
  <c r="E140" i="3"/>
  <c r="E145" i="3"/>
  <c r="E50" i="3"/>
  <c r="E66" i="3"/>
  <c r="E70" i="3"/>
  <c r="E41" i="3"/>
  <c r="E47" i="3"/>
  <c r="E55" i="3"/>
  <c r="E63" i="3"/>
  <c r="E71" i="3"/>
  <c r="E81" i="3"/>
  <c r="E89" i="3"/>
  <c r="E97" i="3"/>
  <c r="R84" i="2"/>
  <c r="E105" i="3"/>
  <c r="E113" i="3"/>
  <c r="R100" i="2"/>
  <c r="E121" i="3"/>
  <c r="E129" i="3"/>
  <c r="E137" i="3"/>
  <c r="E25" i="3"/>
  <c r="E40" i="3"/>
  <c r="E45" i="3"/>
  <c r="E28" i="3"/>
  <c r="E39" i="3"/>
  <c r="E53" i="3"/>
  <c r="E61" i="3"/>
  <c r="E69" i="3"/>
  <c r="E75" i="3"/>
  <c r="E83" i="3"/>
  <c r="E91" i="3"/>
  <c r="E99" i="3"/>
  <c r="R86" i="2"/>
  <c r="E107" i="3"/>
  <c r="E115" i="3"/>
  <c r="E123" i="3"/>
  <c r="E131" i="3"/>
  <c r="E139" i="3"/>
  <c r="E142" i="3"/>
  <c r="E26" i="3"/>
  <c r="E27" i="3"/>
  <c r="E34" i="3"/>
  <c r="E44" i="3"/>
  <c r="E60" i="3"/>
  <c r="E74" i="3"/>
  <c r="E82" i="3"/>
  <c r="E90" i="3"/>
  <c r="E98" i="3"/>
  <c r="E106" i="3"/>
  <c r="E114" i="3"/>
  <c r="E122" i="3"/>
  <c r="E130" i="3"/>
  <c r="E138" i="3"/>
  <c r="E147" i="3"/>
  <c r="E68" i="3"/>
  <c r="E30" i="3"/>
  <c r="E35" i="3"/>
  <c r="E52" i="3"/>
  <c r="E54" i="3"/>
  <c r="E78" i="3"/>
  <c r="E86" i="3"/>
  <c r="E94" i="3"/>
  <c r="E102" i="3"/>
  <c r="E110" i="3"/>
  <c r="E118" i="3"/>
  <c r="R105" i="2"/>
  <c r="E126" i="3"/>
  <c r="E134" i="3"/>
  <c r="E143" i="3"/>
  <c r="E58" i="3"/>
  <c r="E72" i="3"/>
  <c r="E51" i="3"/>
  <c r="E85" i="3"/>
  <c r="E117" i="3"/>
  <c r="E29" i="3"/>
  <c r="E73" i="3"/>
  <c r="E103" i="3"/>
  <c r="E135" i="3"/>
  <c r="E67" i="3"/>
  <c r="E101" i="3"/>
  <c r="E46" i="3"/>
  <c r="E87" i="3"/>
  <c r="E146" i="3"/>
  <c r="E43" i="3"/>
  <c r="E77" i="3"/>
  <c r="E144" i="3"/>
  <c r="E65" i="3"/>
  <c r="E95" i="3"/>
  <c r="E127" i="3"/>
  <c r="E33" i="3"/>
  <c r="E59" i="3"/>
  <c r="E93" i="3"/>
  <c r="E125" i="3"/>
  <c r="E42" i="3"/>
  <c r="E49" i="3"/>
  <c r="E79" i="3"/>
  <c r="R66" i="2"/>
  <c r="E111" i="3"/>
  <c r="E141" i="3"/>
  <c r="R128" i="2"/>
  <c r="E36" i="3"/>
  <c r="E133" i="3"/>
  <c r="E57" i="3"/>
  <c r="E119" i="3"/>
  <c r="E109" i="3"/>
  <c r="F17" i="4"/>
  <c r="F54" i="1"/>
  <c r="A81" i="1"/>
  <c r="E125" i="1"/>
  <c r="O111" i="1"/>
  <c r="D119" i="1"/>
  <c r="D119" i="2" s="1"/>
  <c r="A54" i="1"/>
  <c r="I53" i="1" s="1"/>
  <c r="J54" i="1" s="1"/>
  <c r="A51" i="1"/>
  <c r="P108" i="1"/>
  <c r="C51" i="1"/>
  <c r="C51" i="2" s="1"/>
  <c r="G51" i="2" s="1"/>
  <c r="T51" i="2" s="1"/>
  <c r="A115" i="1"/>
  <c r="S115" i="1" s="1"/>
  <c r="C125" i="1"/>
  <c r="C125" i="2" s="1"/>
  <c r="G125" i="2" s="1"/>
  <c r="T125" i="2" s="1"/>
  <c r="O125" i="1"/>
  <c r="P81" i="1"/>
  <c r="C58" i="1"/>
  <c r="E51" i="1"/>
  <c r="C115" i="1"/>
  <c r="G115" i="1" s="1"/>
  <c r="T115" i="1" s="1"/>
  <c r="D125" i="1"/>
  <c r="D125" i="2" s="1"/>
  <c r="O99" i="1"/>
  <c r="P111" i="1"/>
  <c r="D54" i="1"/>
  <c r="D54" i="2" s="1"/>
  <c r="E54" i="1"/>
  <c r="C54" i="1"/>
  <c r="P90" i="1"/>
  <c r="D90" i="1"/>
  <c r="D90" i="2" s="1"/>
  <c r="O90" i="1"/>
  <c r="O55" i="1"/>
  <c r="E107" i="1"/>
  <c r="C96" i="1"/>
  <c r="P92" i="1"/>
  <c r="O84" i="1"/>
  <c r="P84" i="1"/>
  <c r="F84" i="1"/>
  <c r="D84" i="1"/>
  <c r="D84" i="2" s="1"/>
  <c r="E84" i="1"/>
  <c r="E61" i="1"/>
  <c r="O57" i="1"/>
  <c r="D57" i="1"/>
  <c r="D57" i="2" s="1"/>
  <c r="A50" i="1"/>
  <c r="A84" i="1"/>
  <c r="S84" i="1" s="1"/>
  <c r="C84" i="1"/>
  <c r="G84" i="1" s="1"/>
  <c r="T84" i="1" s="1"/>
  <c r="A123" i="1"/>
  <c r="C74" i="1"/>
  <c r="C74" i="2" s="1"/>
  <c r="G74" i="2" s="1"/>
  <c r="T74" i="2" s="1"/>
  <c r="E83" i="1"/>
  <c r="A121" i="1"/>
  <c r="D110" i="1"/>
  <c r="D110" i="2" s="1"/>
  <c r="A100" i="1"/>
  <c r="I99" i="1" s="1"/>
  <c r="J100" i="1" s="1"/>
  <c r="D97" i="1"/>
  <c r="D97" i="2" s="1"/>
  <c r="C88" i="1"/>
  <c r="G88" i="1" s="1"/>
  <c r="T88" i="1" s="1"/>
  <c r="A88" i="1"/>
  <c r="I87" i="1" s="1"/>
  <c r="J88" i="1" s="1"/>
  <c r="P88" i="1"/>
  <c r="F81" i="1"/>
  <c r="C81" i="1"/>
  <c r="G81" i="1" s="1"/>
  <c r="T81" i="1" s="1"/>
  <c r="D81" i="1"/>
  <c r="D81" i="2" s="1"/>
  <c r="E81" i="1"/>
  <c r="D74" i="1"/>
  <c r="D74" i="2" s="1"/>
  <c r="C49" i="1"/>
  <c r="D49" i="1"/>
  <c r="D49" i="2" s="1"/>
  <c r="E90" i="1"/>
  <c r="C90" i="1"/>
  <c r="A90" i="1"/>
  <c r="I89" i="1" s="1"/>
  <c r="J90" i="1" s="1"/>
  <c r="F90" i="1"/>
  <c r="C64" i="1"/>
  <c r="P64" i="1"/>
  <c r="A64" i="1"/>
  <c r="E64" i="1"/>
  <c r="C57" i="1"/>
  <c r="F57" i="1"/>
  <c r="E57" i="1"/>
  <c r="F117" i="1"/>
  <c r="O94" i="1"/>
  <c r="C94" i="1"/>
  <c r="D94" i="1"/>
  <c r="D94" i="2" s="1"/>
  <c r="F94" i="1"/>
  <c r="A91" i="1"/>
  <c r="S91" i="1" s="1"/>
  <c r="A87" i="1"/>
  <c r="O128" i="1"/>
  <c r="F134" i="1"/>
  <c r="O113" i="1"/>
  <c r="C103" i="1"/>
  <c r="G103" i="1" s="1"/>
  <c r="T103" i="1" s="1"/>
  <c r="F103" i="1"/>
  <c r="O103" i="1"/>
  <c r="D103" i="1"/>
  <c r="D103" i="2" s="1"/>
  <c r="P103" i="1"/>
  <c r="A103" i="1"/>
  <c r="I102" i="1" s="1"/>
  <c r="J103" i="1" s="1"/>
  <c r="E103" i="1"/>
  <c r="F115" i="1"/>
  <c r="P115" i="1"/>
  <c r="A57" i="1"/>
  <c r="P57" i="1"/>
  <c r="P129" i="1"/>
  <c r="C86" i="1"/>
  <c r="G86" i="1" s="1"/>
  <c r="T86" i="1" s="1"/>
  <c r="F86" i="1"/>
  <c r="O132" i="1"/>
  <c r="F132" i="1"/>
  <c r="C132" i="1"/>
  <c r="C132" i="2" s="1"/>
  <c r="G132" i="2" s="1"/>
  <c r="T132" i="2" s="1"/>
  <c r="A132" i="1"/>
  <c r="P123" i="1"/>
  <c r="E123" i="1"/>
  <c r="C123" i="1"/>
  <c r="G123" i="1" s="1"/>
  <c r="T123" i="1" s="1"/>
  <c r="O123" i="1"/>
  <c r="F123" i="1"/>
  <c r="F107" i="1"/>
  <c r="E88" i="1"/>
  <c r="F88" i="1"/>
  <c r="O88" i="1"/>
  <c r="D79" i="1"/>
  <c r="D79" i="2" s="1"/>
  <c r="F71" i="1"/>
  <c r="N115" i="1"/>
  <c r="N54" i="1"/>
  <c r="S54" i="1"/>
  <c r="I114" i="1"/>
  <c r="J115" i="1" s="1"/>
  <c r="I1" i="1"/>
  <c r="N84" i="1"/>
  <c r="C13" i="2"/>
  <c r="T11" i="1"/>
  <c r="D24" i="3"/>
  <c r="D25" i="3" s="1"/>
  <c r="S100" i="1"/>
  <c r="C103" i="2"/>
  <c r="G103" i="2" s="1"/>
  <c r="T103" i="2" s="1"/>
  <c r="S12" i="2"/>
  <c r="B25" i="3" s="1"/>
  <c r="N100" i="1"/>
  <c r="I122" i="1"/>
  <c r="J123" i="1" s="1"/>
  <c r="N132" i="1"/>
  <c r="S51" i="1"/>
  <c r="I95" i="1"/>
  <c r="J96" i="1" s="1"/>
  <c r="S12" i="1"/>
  <c r="S87" i="1"/>
  <c r="S66" i="1"/>
  <c r="I65" i="1"/>
  <c r="J66" i="1" s="1"/>
  <c r="D126" i="1"/>
  <c r="D126" i="2" s="1"/>
  <c r="I58" i="1"/>
  <c r="J59" i="1" s="1"/>
  <c r="C134" i="1"/>
  <c r="G134" i="1" s="1"/>
  <c r="T134" i="1" s="1"/>
  <c r="A134" i="1"/>
  <c r="S134" i="1" s="1"/>
  <c r="O134" i="1"/>
  <c r="E134" i="1"/>
  <c r="D134" i="1"/>
  <c r="D134" i="2" s="1"/>
  <c r="F130" i="1"/>
  <c r="C130" i="1"/>
  <c r="C130" i="2" s="1"/>
  <c r="G130" i="2" s="1"/>
  <c r="T130" i="2" s="1"/>
  <c r="O130" i="1"/>
  <c r="P130" i="1"/>
  <c r="E130" i="1"/>
  <c r="A130" i="1"/>
  <c r="I129" i="1" s="1"/>
  <c r="J130" i="1" s="1"/>
  <c r="P122" i="1"/>
  <c r="P118" i="1"/>
  <c r="O118" i="1"/>
  <c r="A118" i="1"/>
  <c r="A97" i="1"/>
  <c r="O97" i="1"/>
  <c r="P97" i="1"/>
  <c r="F97" i="1"/>
  <c r="E97" i="1"/>
  <c r="C97" i="1"/>
  <c r="O85" i="1"/>
  <c r="A85" i="1"/>
  <c r="I84" i="1"/>
  <c r="J85" i="1" s="1"/>
  <c r="C85" i="1"/>
  <c r="G85" i="1" s="1"/>
  <c r="T85" i="1" s="1"/>
  <c r="E78" i="1"/>
  <c r="F78" i="1"/>
  <c r="A78" i="1"/>
  <c r="I77" i="1" s="1"/>
  <c r="J78" i="1" s="1"/>
  <c r="O65" i="1"/>
  <c r="E65" i="1"/>
  <c r="A65" i="1"/>
  <c r="N65" i="1" s="1"/>
  <c r="C65" i="1"/>
  <c r="C65" i="2" s="1"/>
  <c r="G65" i="2" s="1"/>
  <c r="T65" i="2" s="1"/>
  <c r="D65" i="1"/>
  <c r="D65" i="2"/>
  <c r="P65" i="1"/>
  <c r="F65" i="1"/>
  <c r="F61" i="1"/>
  <c r="A61" i="1"/>
  <c r="D61" i="1"/>
  <c r="D61" i="2" s="1"/>
  <c r="C61" i="1"/>
  <c r="C61" i="2" s="1"/>
  <c r="G61" i="2" s="1"/>
  <c r="T61" i="2" s="1"/>
  <c r="O61" i="1"/>
  <c r="P61" i="1"/>
  <c r="F128" i="1"/>
  <c r="E128" i="1"/>
  <c r="P128" i="1"/>
  <c r="C114" i="1"/>
  <c r="G114" i="1" s="1"/>
  <c r="T114" i="1" s="1"/>
  <c r="D114" i="1"/>
  <c r="D114" i="2" s="1"/>
  <c r="P107" i="1"/>
  <c r="C107" i="1"/>
  <c r="G107" i="1" s="1"/>
  <c r="T107" i="1" s="1"/>
  <c r="A107" i="1"/>
  <c r="O107" i="1"/>
  <c r="O95" i="1"/>
  <c r="F95" i="1"/>
  <c r="D95" i="1"/>
  <c r="D95" i="2" s="1"/>
  <c r="C95" i="1"/>
  <c r="P95" i="1"/>
  <c r="F91" i="1"/>
  <c r="C91" i="1"/>
  <c r="G91" i="1" s="1"/>
  <c r="T91" i="1" s="1"/>
  <c r="E91" i="1"/>
  <c r="D91" i="1"/>
  <c r="D91" i="2" s="1"/>
  <c r="O91" i="1"/>
  <c r="P87" i="1"/>
  <c r="C87" i="1"/>
  <c r="G87" i="1" s="1"/>
  <c r="T87" i="1" s="1"/>
  <c r="F87" i="1"/>
  <c r="O87" i="1"/>
  <c r="D87" i="1"/>
  <c r="D87" i="2" s="1"/>
  <c r="P83" i="1"/>
  <c r="A83" i="1"/>
  <c r="I82" i="1" s="1"/>
  <c r="J83" i="1" s="1"/>
  <c r="P63" i="1"/>
  <c r="P59" i="1"/>
  <c r="E59" i="1"/>
  <c r="E87" i="1"/>
  <c r="S90" i="1"/>
  <c r="N90" i="1"/>
  <c r="P114" i="1"/>
  <c r="E80" i="1"/>
  <c r="O80" i="1"/>
  <c r="E95" i="1"/>
  <c r="D107" i="1"/>
  <c r="D107" i="2" s="1"/>
  <c r="A95" i="1"/>
  <c r="E102" i="1"/>
  <c r="C102" i="1"/>
  <c r="C102" i="2" s="1"/>
  <c r="G102" i="2" s="1"/>
  <c r="T102" i="2" s="1"/>
  <c r="A102" i="1"/>
  <c r="D102" i="1"/>
  <c r="D102" i="2" s="1"/>
  <c r="O102" i="1"/>
  <c r="C62" i="1"/>
  <c r="C62" i="2" s="1"/>
  <c r="G62" i="2" s="1"/>
  <c r="T62" i="2" s="1"/>
  <c r="D62" i="1"/>
  <c r="D62" i="2" s="1"/>
  <c r="P62" i="1"/>
  <c r="A62" i="1"/>
  <c r="I61" i="1" s="1"/>
  <c r="J62" i="1" s="1"/>
  <c r="O58" i="1"/>
  <c r="A58" i="1"/>
  <c r="E58" i="1"/>
  <c r="F58" i="1"/>
  <c r="O133" i="1"/>
  <c r="P133" i="1"/>
  <c r="F133" i="1"/>
  <c r="A133" i="1"/>
  <c r="N133" i="1" s="1"/>
  <c r="C104" i="1"/>
  <c r="G104" i="1" s="1"/>
  <c r="T104" i="1" s="1"/>
  <c r="E100" i="1"/>
  <c r="O64" i="1"/>
  <c r="D64" i="1"/>
  <c r="D64" i="2" s="1"/>
  <c r="F64" i="1"/>
  <c r="F60" i="1"/>
  <c r="E60" i="1"/>
  <c r="D60" i="1"/>
  <c r="D60" i="2"/>
  <c r="S94" i="1"/>
  <c r="N94" i="1"/>
  <c r="I93" i="1"/>
  <c r="J94" i="1" s="1"/>
  <c r="C70" i="1"/>
  <c r="G70" i="1" s="1"/>
  <c r="T70" i="1" s="1"/>
  <c r="O70" i="1"/>
  <c r="P70" i="1"/>
  <c r="A70" i="1"/>
  <c r="N70" i="1" s="1"/>
  <c r="E70" i="1"/>
  <c r="F70" i="1"/>
  <c r="P66" i="1"/>
  <c r="F66" i="1"/>
  <c r="E66" i="1"/>
  <c r="O66" i="1"/>
  <c r="D66" i="1"/>
  <c r="D66" i="2" s="1"/>
  <c r="C66" i="1"/>
  <c r="C66" i="2" s="1"/>
  <c r="G66" i="2" s="1"/>
  <c r="T66" i="2" s="1"/>
  <c r="I90" i="1"/>
  <c r="J91" i="1" s="1"/>
  <c r="N91" i="1"/>
  <c r="I120" i="1"/>
  <c r="J121" i="1" s="1"/>
  <c r="P68" i="1"/>
  <c r="C68" i="1"/>
  <c r="G68" i="1" s="1"/>
  <c r="T68" i="1" s="1"/>
  <c r="E68" i="1"/>
  <c r="A68" i="1"/>
  <c r="S68" i="1" s="1"/>
  <c r="D68" i="1"/>
  <c r="D68" i="2" s="1"/>
  <c r="F56" i="1"/>
  <c r="P56" i="1"/>
  <c r="O56" i="1"/>
  <c r="C56" i="1"/>
  <c r="C56" i="2" s="1"/>
  <c r="G56" i="2" s="1"/>
  <c r="T56" i="2" s="1"/>
  <c r="E56" i="1"/>
  <c r="D56" i="1"/>
  <c r="D56" i="2" s="1"/>
  <c r="A56" i="1"/>
  <c r="I55" i="1" s="1"/>
  <c r="J56" i="1" s="1"/>
  <c r="N66" i="1"/>
  <c r="S103" i="1"/>
  <c r="N103" i="1"/>
  <c r="O68" i="1"/>
  <c r="D70" i="1"/>
  <c r="D70" i="2" s="1"/>
  <c r="I59" i="1"/>
  <c r="J60" i="1" s="1"/>
  <c r="S60" i="1"/>
  <c r="N60" i="1"/>
  <c r="N67" i="1"/>
  <c r="M66" i="1" s="1"/>
  <c r="K66" i="1" s="1"/>
  <c r="F126" i="1"/>
  <c r="A126" i="1"/>
  <c r="I125" i="1" s="1"/>
  <c r="J126" i="1" s="1"/>
  <c r="E126" i="1"/>
  <c r="P126" i="1"/>
  <c r="E118" i="1"/>
  <c r="D118" i="1"/>
  <c r="D118" i="2" s="1"/>
  <c r="C118" i="1"/>
  <c r="G118" i="1" s="1"/>
  <c r="T118" i="1" s="1"/>
  <c r="E112" i="1"/>
  <c r="F109" i="1"/>
  <c r="A98" i="1"/>
  <c r="N98" i="1" s="1"/>
  <c r="C98" i="1"/>
  <c r="O98" i="1"/>
  <c r="D98" i="1"/>
  <c r="D98" i="2" s="1"/>
  <c r="F98" i="1"/>
  <c r="D83" i="1"/>
  <c r="D83" i="2" s="1"/>
  <c r="C83" i="1"/>
  <c r="F83" i="1"/>
  <c r="O83" i="1"/>
  <c r="C128" i="1"/>
  <c r="A128" i="1"/>
  <c r="N128" i="1" s="1"/>
  <c r="D128" i="1"/>
  <c r="D128" i="2" s="1"/>
  <c r="P120" i="1"/>
  <c r="E114" i="1"/>
  <c r="A114" i="1"/>
  <c r="I113" i="1" s="1"/>
  <c r="J114" i="1" s="1"/>
  <c r="F114" i="1"/>
  <c r="O114" i="1"/>
  <c r="P100" i="1"/>
  <c r="P89" i="1"/>
  <c r="D89" i="1"/>
  <c r="D89" i="2" s="1"/>
  <c r="P85" i="1"/>
  <c r="D85" i="1"/>
  <c r="D85" i="2" s="1"/>
  <c r="E85" i="1"/>
  <c r="F85" i="1"/>
  <c r="O74" i="1"/>
  <c r="F74" i="1"/>
  <c r="A74" i="1"/>
  <c r="S74" i="1" s="1"/>
  <c r="D132" i="1"/>
  <c r="D132" i="2" s="1"/>
  <c r="P132" i="1"/>
  <c r="E132" i="1"/>
  <c r="P125" i="1"/>
  <c r="A125" i="1"/>
  <c r="A80" i="1"/>
  <c r="I79" i="1" s="1"/>
  <c r="J80" i="1" s="1"/>
  <c r="D80" i="1"/>
  <c r="D80" i="2" s="1"/>
  <c r="P80" i="1"/>
  <c r="C80" i="1"/>
  <c r="C75" i="1"/>
  <c r="C75" i="2" s="1"/>
  <c r="G75" i="2" s="1"/>
  <c r="T75" i="2" s="1"/>
  <c r="G71" i="1"/>
  <c r="T71" i="1" s="1"/>
  <c r="E69" i="1"/>
  <c r="P51" i="1"/>
  <c r="D51" i="1"/>
  <c r="D51" i="2" s="1"/>
  <c r="O51" i="1"/>
  <c r="F51" i="1"/>
  <c r="F99" i="1"/>
  <c r="P99" i="1"/>
  <c r="A99" i="1"/>
  <c r="I98" i="1" s="1"/>
  <c r="J99" i="1" s="1"/>
  <c r="D78" i="1"/>
  <c r="D78" i="2" s="1"/>
  <c r="C78" i="1"/>
  <c r="C78" i="2" s="1"/>
  <c r="G78" i="2" s="1"/>
  <c r="T78" i="2" s="1"/>
  <c r="P78" i="1"/>
  <c r="C67" i="1"/>
  <c r="C67" i="2" s="1"/>
  <c r="G67" i="2" s="1"/>
  <c r="T67" i="2" s="1"/>
  <c r="P49" i="1"/>
  <c r="F49" i="1"/>
  <c r="C64" i="2"/>
  <c r="G64" i="2" s="1"/>
  <c r="T64" i="2" s="1"/>
  <c r="G64" i="1"/>
  <c r="T64" i="1" s="1"/>
  <c r="G54" i="1"/>
  <c r="T54" i="1" s="1"/>
  <c r="C54" i="2"/>
  <c r="G54" i="2" s="1"/>
  <c r="T54" i="2" s="1"/>
  <c r="G90" i="1"/>
  <c r="T90" i="1" s="1"/>
  <c r="C90" i="2"/>
  <c r="G90" i="2" s="1"/>
  <c r="T90" i="2" s="1"/>
  <c r="C49" i="2"/>
  <c r="G49" i="2" s="1"/>
  <c r="T49" i="2" s="1"/>
  <c r="G49" i="1"/>
  <c r="T49" i="1" s="1"/>
  <c r="C81" i="2"/>
  <c r="G81" i="2" s="1"/>
  <c r="T81" i="2" s="1"/>
  <c r="G57" i="1"/>
  <c r="T57" i="1" s="1"/>
  <c r="C57" i="2"/>
  <c r="G57" i="2" s="1"/>
  <c r="T57" i="2" s="1"/>
  <c r="G51" i="1"/>
  <c r="T51" i="1" s="1"/>
  <c r="N62" i="1"/>
  <c r="N118" i="1"/>
  <c r="C68" i="2"/>
  <c r="G68" i="2" s="1"/>
  <c r="T68" i="2" s="1"/>
  <c r="G130" i="1"/>
  <c r="T130" i="1" s="1"/>
  <c r="G65" i="1"/>
  <c r="T65" i="1" s="1"/>
  <c r="S85" i="1"/>
  <c r="S62" i="1"/>
  <c r="N85" i="1"/>
  <c r="I94" i="1"/>
  <c r="J95" i="1" s="1"/>
  <c r="C97" i="2"/>
  <c r="G97" i="2" s="1"/>
  <c r="T97" i="2" s="1"/>
  <c r="G97" i="1"/>
  <c r="T97" i="1" s="1"/>
  <c r="N130" i="1"/>
  <c r="N83" i="1"/>
  <c r="S83" i="1"/>
  <c r="I64" i="1"/>
  <c r="J65" i="1" s="1"/>
  <c r="S65" i="1"/>
  <c r="S97" i="1"/>
  <c r="N134" i="1"/>
  <c r="I133" i="1"/>
  <c r="J134" i="1" s="1"/>
  <c r="G66" i="1"/>
  <c r="T66" i="1" s="1"/>
  <c r="S102" i="1"/>
  <c r="G95" i="1"/>
  <c r="T95" i="1" s="1"/>
  <c r="C95" i="2"/>
  <c r="G95" i="2" s="1"/>
  <c r="T95" i="2" s="1"/>
  <c r="C87" i="2"/>
  <c r="G87" i="2" s="1"/>
  <c r="T87" i="2" s="1"/>
  <c r="S133" i="1"/>
  <c r="C134" i="2"/>
  <c r="G134" i="2" s="1"/>
  <c r="T134" i="2" s="1"/>
  <c r="N114" i="1"/>
  <c r="S114" i="1"/>
  <c r="N99" i="1"/>
  <c r="M99" i="1" s="1"/>
  <c r="K99" i="1" s="1"/>
  <c r="S99" i="1"/>
  <c r="N74" i="1"/>
  <c r="C128" i="2"/>
  <c r="G128" i="2" s="1"/>
  <c r="T128" i="2" s="1"/>
  <c r="G128" i="1"/>
  <c r="T128" i="1" s="1"/>
  <c r="S98" i="1"/>
  <c r="N126" i="1"/>
  <c r="S56" i="1"/>
  <c r="N56" i="1"/>
  <c r="I67" i="1"/>
  <c r="J68" i="1" s="1"/>
  <c r="M90" i="1"/>
  <c r="L90" i="1" s="1"/>
  <c r="S70" i="1"/>
  <c r="M134" i="1"/>
  <c r="L134" i="1" s="1"/>
  <c r="M65" i="1"/>
  <c r="M83" i="1"/>
  <c r="K83" i="1" s="1"/>
  <c r="K90" i="1"/>
  <c r="M114" i="1"/>
  <c r="K114" i="1" s="1"/>
  <c r="A3" i="1" l="1"/>
  <c r="I124" i="1"/>
  <c r="J125" i="1" s="1"/>
  <c r="N125" i="1"/>
  <c r="M125" i="1" s="1"/>
  <c r="L125" i="1" s="1"/>
  <c r="S125" i="1"/>
  <c r="C94" i="2"/>
  <c r="G94" i="2" s="1"/>
  <c r="T94" i="2" s="1"/>
  <c r="G94" i="1"/>
  <c r="T94" i="1" s="1"/>
  <c r="S128" i="1"/>
  <c r="F120" i="1"/>
  <c r="A120" i="1"/>
  <c r="D120" i="1"/>
  <c r="D120" i="2" s="1"/>
  <c r="O120" i="1"/>
  <c r="C120" i="1"/>
  <c r="G120" i="1" s="1"/>
  <c r="T120" i="1" s="1"/>
  <c r="E120" i="1"/>
  <c r="E108" i="1"/>
  <c r="A108" i="1"/>
  <c r="N108" i="1" s="1"/>
  <c r="D108" i="1"/>
  <c r="D108" i="2" s="1"/>
  <c r="F108" i="1"/>
  <c r="C108" i="1"/>
  <c r="C108" i="2" s="1"/>
  <c r="G108" i="2" s="1"/>
  <c r="T108" i="2" s="1"/>
  <c r="O108" i="1"/>
  <c r="S96" i="1"/>
  <c r="N96" i="1"/>
  <c r="M96" i="1" s="1"/>
  <c r="N107" i="1"/>
  <c r="M107" i="1" s="1"/>
  <c r="S107" i="1"/>
  <c r="N61" i="1"/>
  <c r="S61" i="1"/>
  <c r="I60" i="1"/>
  <c r="J61" i="1" s="1"/>
  <c r="C83" i="2"/>
  <c r="G83" i="2" s="1"/>
  <c r="T83" i="2" s="1"/>
  <c r="G83" i="1"/>
  <c r="T83" i="1" s="1"/>
  <c r="N87" i="1"/>
  <c r="I86" i="1"/>
  <c r="J87" i="1" s="1"/>
  <c r="G96" i="1"/>
  <c r="T96" i="1" s="1"/>
  <c r="C96" i="2"/>
  <c r="G96" i="2" s="1"/>
  <c r="T96" i="2" s="1"/>
  <c r="I66" i="1"/>
  <c r="J67" i="1" s="1"/>
  <c r="S67" i="1"/>
  <c r="I106" i="1"/>
  <c r="J107" i="1" s="1"/>
  <c r="N95" i="1"/>
  <c r="M94" i="1" s="1"/>
  <c r="L94" i="1" s="1"/>
  <c r="S95" i="1"/>
  <c r="I127" i="1"/>
  <c r="J128" i="1" s="1"/>
  <c r="C86" i="2"/>
  <c r="G86" i="2" s="1"/>
  <c r="T86" i="2" s="1"/>
  <c r="S58" i="1"/>
  <c r="N58" i="1"/>
  <c r="I101" i="1"/>
  <c r="J102" i="1" s="1"/>
  <c r="N102" i="1"/>
  <c r="N97" i="1"/>
  <c r="I96" i="1"/>
  <c r="J97" i="1" s="1"/>
  <c r="S81" i="1"/>
  <c r="I80" i="1"/>
  <c r="J81" i="1" s="1"/>
  <c r="S126" i="1"/>
  <c r="I132" i="1"/>
  <c r="J133" i="1" s="1"/>
  <c r="N78" i="1"/>
  <c r="M84" i="1"/>
  <c r="O67" i="1"/>
  <c r="F75" i="1"/>
  <c r="A89" i="1"/>
  <c r="O89" i="1"/>
  <c r="N75" i="1"/>
  <c r="M74" i="1" s="1"/>
  <c r="E104" i="1"/>
  <c r="A104" i="1"/>
  <c r="D59" i="1"/>
  <c r="D59" i="2" s="1"/>
  <c r="D63" i="1"/>
  <c r="D63" i="2" s="1"/>
  <c r="F63" i="1"/>
  <c r="D93" i="1"/>
  <c r="D93" i="2" s="1"/>
  <c r="C93" i="1"/>
  <c r="S130" i="1"/>
  <c r="D71" i="1"/>
  <c r="D71" i="2" s="1"/>
  <c r="P71" i="1"/>
  <c r="F79" i="1"/>
  <c r="P86" i="1"/>
  <c r="A55" i="1"/>
  <c r="B98" i="2"/>
  <c r="F96" i="1"/>
  <c r="E55" i="1"/>
  <c r="D104" i="1"/>
  <c r="D104" i="2" s="1"/>
  <c r="O71" i="1"/>
  <c r="F93" i="1"/>
  <c r="O79" i="1"/>
  <c r="C55" i="1"/>
  <c r="B87" i="2"/>
  <c r="F87" i="2" s="1"/>
  <c r="C89" i="1"/>
  <c r="F104" i="1"/>
  <c r="E75" i="1"/>
  <c r="F67" i="1"/>
  <c r="D67" i="1"/>
  <c r="D67" i="2" s="1"/>
  <c r="P75" i="1"/>
  <c r="E89" i="1"/>
  <c r="O100" i="1"/>
  <c r="M97" i="1"/>
  <c r="S75" i="1"/>
  <c r="P104" i="1"/>
  <c r="O59" i="1"/>
  <c r="C59" i="1"/>
  <c r="G59" i="1" s="1"/>
  <c r="T59" i="1" s="1"/>
  <c r="O63" i="1"/>
  <c r="P93" i="1"/>
  <c r="A93" i="1"/>
  <c r="N59" i="1"/>
  <c r="M59" i="1" s="1"/>
  <c r="O13" i="1"/>
  <c r="E71" i="1"/>
  <c r="A79" i="1"/>
  <c r="D86" i="1"/>
  <c r="D86" i="2" s="1"/>
  <c r="I97" i="1"/>
  <c r="J98" i="1" s="1"/>
  <c r="E67" i="1"/>
  <c r="D75" i="1"/>
  <c r="D75" i="2" s="1"/>
  <c r="D100" i="1"/>
  <c r="D100" i="2" s="1"/>
  <c r="C100" i="1"/>
  <c r="G100" i="1" s="1"/>
  <c r="T100" i="1" s="1"/>
  <c r="A63" i="1"/>
  <c r="F59" i="1"/>
  <c r="C63" i="1"/>
  <c r="E93" i="1"/>
  <c r="A13" i="1"/>
  <c r="A71" i="1"/>
  <c r="S71" i="1" s="1"/>
  <c r="E79" i="1"/>
  <c r="O86" i="1"/>
  <c r="A86" i="1"/>
  <c r="S86" i="1" s="1"/>
  <c r="O75" i="1"/>
  <c r="A87" i="2"/>
  <c r="E87" i="2"/>
  <c r="O52" i="1"/>
  <c r="A52" i="1"/>
  <c r="C52" i="1"/>
  <c r="F52" i="1"/>
  <c r="P52" i="1"/>
  <c r="B14" i="2"/>
  <c r="B56" i="2"/>
  <c r="E56" i="2" s="1"/>
  <c r="B29" i="2"/>
  <c r="B93" i="2"/>
  <c r="B24" i="2"/>
  <c r="B25" i="2"/>
  <c r="B84" i="2"/>
  <c r="B113" i="2"/>
  <c r="B94" i="2"/>
  <c r="F94" i="2" s="1"/>
  <c r="B106" i="2"/>
  <c r="B17" i="2"/>
  <c r="B61" i="2"/>
  <c r="B110" i="2"/>
  <c r="B99" i="2"/>
  <c r="B121" i="2"/>
  <c r="B15" i="2"/>
  <c r="B23" i="2"/>
  <c r="B52" i="2"/>
  <c r="B74" i="2"/>
  <c r="B27" i="2"/>
  <c r="B73" i="2"/>
  <c r="B58" i="2"/>
  <c r="B134" i="2"/>
  <c r="B88" i="2"/>
  <c r="P88" i="2" s="1"/>
  <c r="B90" i="2"/>
  <c r="A90" i="2" s="1"/>
  <c r="B21" i="2"/>
  <c r="B66" i="2"/>
  <c r="B126" i="2"/>
  <c r="B128" i="2"/>
  <c r="B3" i="4"/>
  <c r="B38" i="2"/>
  <c r="B19" i="2"/>
  <c r="B125" i="2"/>
  <c r="B46" i="2"/>
  <c r="B107" i="2"/>
  <c r="B104" i="2"/>
  <c r="B44" i="2"/>
  <c r="B49" i="2"/>
  <c r="O49" i="2" s="1"/>
  <c r="B101" i="2"/>
  <c r="B103" i="2"/>
  <c r="B47" i="2"/>
  <c r="B59" i="2"/>
  <c r="B39" i="2"/>
  <c r="B69" i="2"/>
  <c r="B114" i="2"/>
  <c r="B83" i="2"/>
  <c r="B43" i="2"/>
  <c r="B28" i="2"/>
  <c r="B68" i="2"/>
  <c r="B42" i="2"/>
  <c r="B89" i="2"/>
  <c r="B60" i="2"/>
  <c r="P60" i="2" s="1"/>
  <c r="B122" i="2"/>
  <c r="B119" i="2"/>
  <c r="B30" i="2"/>
  <c r="B118" i="2"/>
  <c r="B81" i="2"/>
  <c r="B91" i="2"/>
  <c r="P91" i="2" s="1"/>
  <c r="B20" i="2"/>
  <c r="B16" i="2"/>
  <c r="B108" i="2"/>
  <c r="P108" i="2" s="1"/>
  <c r="B3" i="3"/>
  <c r="B79" i="2"/>
  <c r="O79" i="2" s="1"/>
  <c r="B109" i="2"/>
  <c r="E109" i="2" s="1"/>
  <c r="B45" i="2"/>
  <c r="B120" i="2"/>
  <c r="B67" i="2"/>
  <c r="B80" i="2"/>
  <c r="B105" i="2"/>
  <c r="B41" i="2"/>
  <c r="B71" i="2"/>
  <c r="B130" i="2"/>
  <c r="B62" i="2"/>
  <c r="P62" i="2" s="1"/>
  <c r="B34" i="2"/>
  <c r="B18" i="2"/>
  <c r="B131" i="2"/>
  <c r="B76" i="2"/>
  <c r="B22" i="2"/>
  <c r="B40" i="2"/>
  <c r="B129" i="2"/>
  <c r="B31" i="2"/>
  <c r="B85" i="2"/>
  <c r="B50" i="2"/>
  <c r="B102" i="2"/>
  <c r="B127" i="2"/>
  <c r="B48" i="2"/>
  <c r="B92" i="2"/>
  <c r="B54" i="2"/>
  <c r="B82" i="2"/>
  <c r="E82" i="2" s="1"/>
  <c r="B112" i="2"/>
  <c r="B117" i="2"/>
  <c r="B116" i="2"/>
  <c r="B37" i="2"/>
  <c r="B95" i="2"/>
  <c r="B77" i="2"/>
  <c r="B65" i="2"/>
  <c r="B86" i="2"/>
  <c r="A86" i="2" s="1"/>
  <c r="B100" i="2"/>
  <c r="O100" i="2" s="1"/>
  <c r="B78" i="2"/>
  <c r="B53" i="2"/>
  <c r="B63" i="2"/>
  <c r="B26" i="2"/>
  <c r="B111" i="2"/>
  <c r="B72" i="2"/>
  <c r="B133" i="2"/>
  <c r="B36" i="2"/>
  <c r="B32" i="2"/>
  <c r="B75" i="2"/>
  <c r="B96" i="2"/>
  <c r="P96" i="2" s="1"/>
  <c r="B124" i="2"/>
  <c r="F124" i="2" s="1"/>
  <c r="B132" i="2"/>
  <c r="B57" i="2"/>
  <c r="B35" i="2"/>
  <c r="B115" i="2"/>
  <c r="B55" i="2"/>
  <c r="L99" i="1"/>
  <c r="M60" i="1"/>
  <c r="M61" i="1"/>
  <c r="L61" i="1" s="1"/>
  <c r="M102" i="1"/>
  <c r="L102" i="1" s="1"/>
  <c r="E52" i="1"/>
  <c r="B33" i="2"/>
  <c r="L66" i="1"/>
  <c r="B51" i="2"/>
  <c r="A51" i="2" s="1"/>
  <c r="B97" i="2"/>
  <c r="B64" i="2"/>
  <c r="O64" i="2" s="1"/>
  <c r="I117" i="1"/>
  <c r="J118" i="1" s="1"/>
  <c r="S118" i="1"/>
  <c r="A98" i="2"/>
  <c r="P98" i="2"/>
  <c r="F98" i="2"/>
  <c r="E98" i="2"/>
  <c r="O98" i="2"/>
  <c r="C82" i="2"/>
  <c r="G82" i="2" s="1"/>
  <c r="T82" i="2" s="1"/>
  <c r="N121" i="1"/>
  <c r="S121" i="1"/>
  <c r="B123" i="2"/>
  <c r="B70" i="2"/>
  <c r="O70" i="2" s="1"/>
  <c r="O126" i="1"/>
  <c r="C126" i="1"/>
  <c r="C99" i="1"/>
  <c r="E99" i="1"/>
  <c r="D99" i="1"/>
  <c r="D99" i="2" s="1"/>
  <c r="C92" i="1"/>
  <c r="G92" i="1" s="1"/>
  <c r="T92" i="1" s="1"/>
  <c r="E92" i="1"/>
  <c r="F92" i="1"/>
  <c r="P74" i="1"/>
  <c r="E74" i="1"/>
  <c r="E133" i="1"/>
  <c r="D133" i="1"/>
  <c r="D133" i="2" s="1"/>
  <c r="C133" i="1"/>
  <c r="O129" i="1"/>
  <c r="E129" i="1"/>
  <c r="D129" i="1"/>
  <c r="D129" i="2" s="1"/>
  <c r="F129" i="1"/>
  <c r="A129" i="1"/>
  <c r="C129" i="1"/>
  <c r="C129" i="2" s="1"/>
  <c r="G129" i="2" s="1"/>
  <c r="T129" i="2" s="1"/>
  <c r="P110" i="1"/>
  <c r="E110" i="1"/>
  <c r="O110" i="1"/>
  <c r="F106" i="1"/>
  <c r="E106" i="1"/>
  <c r="P106" i="1"/>
  <c r="E121" i="1"/>
  <c r="P121" i="1"/>
  <c r="C121" i="1"/>
  <c r="D121" i="1"/>
  <c r="D121" i="2" s="1"/>
  <c r="F121" i="1"/>
  <c r="O121" i="1"/>
  <c r="C117" i="1"/>
  <c r="A117" i="1"/>
  <c r="O117" i="1"/>
  <c r="P117" i="1"/>
  <c r="E117" i="1"/>
  <c r="F3" i="4"/>
  <c r="M16" i="4"/>
  <c r="M11" i="4"/>
  <c r="M10" i="4"/>
  <c r="M14" i="4"/>
  <c r="M6" i="4"/>
  <c r="M9" i="4"/>
  <c r="N81" i="1"/>
  <c r="A14" i="1"/>
  <c r="A15" i="1" s="1"/>
  <c r="A16" i="1" s="1"/>
  <c r="G108" i="1"/>
  <c r="T108" i="1" s="1"/>
  <c r="G62" i="1"/>
  <c r="T62" i="1" s="1"/>
  <c r="C107" i="2"/>
  <c r="G107" i="2" s="1"/>
  <c r="T107" i="2" s="1"/>
  <c r="C84" i="2"/>
  <c r="G84" i="2" s="1"/>
  <c r="T84" i="2" s="1"/>
  <c r="C118" i="2"/>
  <c r="G118" i="2" s="1"/>
  <c r="T118" i="2" s="1"/>
  <c r="C104" i="2"/>
  <c r="G104" i="2" s="1"/>
  <c r="T104" i="2" s="1"/>
  <c r="C114" i="2"/>
  <c r="G114" i="2" s="1"/>
  <c r="T114" i="2" s="1"/>
  <c r="C115" i="2"/>
  <c r="G115" i="2" s="1"/>
  <c r="T115" i="2" s="1"/>
  <c r="G74" i="1"/>
  <c r="T74" i="1" s="1"/>
  <c r="C123" i="2"/>
  <c r="G123" i="2" s="1"/>
  <c r="T123" i="2" s="1"/>
  <c r="G132" i="1"/>
  <c r="T132" i="1" s="1"/>
  <c r="C120" i="2"/>
  <c r="G120" i="2" s="1"/>
  <c r="T120" i="2" s="1"/>
  <c r="G125" i="1"/>
  <c r="T125" i="1" s="1"/>
  <c r="M8" i="4"/>
  <c r="M4" i="4"/>
  <c r="G56" i="1"/>
  <c r="T56" i="1" s="1"/>
  <c r="G61" i="1"/>
  <c r="T61" i="1" s="1"/>
  <c r="G67" i="1"/>
  <c r="T67" i="1" s="1"/>
  <c r="C88" i="2"/>
  <c r="G88" i="2" s="1"/>
  <c r="T88" i="2" s="1"/>
  <c r="C60" i="2"/>
  <c r="G60" i="2" s="1"/>
  <c r="T60" i="2" s="1"/>
  <c r="M13" i="4"/>
  <c r="C70" i="2"/>
  <c r="G70" i="2" s="1"/>
  <c r="T70" i="2" s="1"/>
  <c r="C91" i="2"/>
  <c r="G91" i="2" s="1"/>
  <c r="T91" i="2" s="1"/>
  <c r="G102" i="1"/>
  <c r="T102" i="1" s="1"/>
  <c r="G79" i="1"/>
  <c r="T79" i="1" s="1"/>
  <c r="K134" i="1"/>
  <c r="K107" i="1"/>
  <c r="L107" i="1"/>
  <c r="S15" i="1"/>
  <c r="G53" i="1"/>
  <c r="T53" i="1" s="1"/>
  <c r="C53" i="2"/>
  <c r="G53" i="2" s="1"/>
  <c r="T53" i="2" s="1"/>
  <c r="S14" i="1"/>
  <c r="K125" i="1"/>
  <c r="M132" i="1"/>
  <c r="M133" i="1"/>
  <c r="L114" i="1"/>
  <c r="A108" i="2"/>
  <c r="E108" i="2"/>
  <c r="O108" i="2"/>
  <c r="F116" i="1"/>
  <c r="O116" i="1"/>
  <c r="C116" i="1"/>
  <c r="P116" i="1"/>
  <c r="E116" i="1"/>
  <c r="A116" i="1"/>
  <c r="D116" i="1"/>
  <c r="D116" i="2" s="1"/>
  <c r="A109" i="1"/>
  <c r="E109" i="1"/>
  <c r="D109" i="1"/>
  <c r="D109" i="2" s="1"/>
  <c r="P109" i="1"/>
  <c r="C109" i="1"/>
  <c r="D101" i="1"/>
  <c r="D101" i="2" s="1"/>
  <c r="F101" i="1"/>
  <c r="C101" i="1"/>
  <c r="P101" i="1"/>
  <c r="E101" i="1"/>
  <c r="O101" i="1"/>
  <c r="D73" i="1"/>
  <c r="D73" i="2" s="1"/>
  <c r="E73" i="1"/>
  <c r="C73" i="1"/>
  <c r="P73" i="1"/>
  <c r="A73" i="1"/>
  <c r="N2" i="2"/>
  <c r="A3" i="2" s="1"/>
  <c r="M2" i="2"/>
  <c r="K2" i="2"/>
  <c r="E8" i="2" s="1"/>
  <c r="C85" i="2"/>
  <c r="G85" i="2" s="1"/>
  <c r="T85" i="2" s="1"/>
  <c r="S11" i="2"/>
  <c r="B24" i="3" s="1"/>
  <c r="I1" i="2"/>
  <c r="C131" i="1"/>
  <c r="F131" i="1"/>
  <c r="O131" i="1"/>
  <c r="E131" i="1"/>
  <c r="D131" i="1"/>
  <c r="D131" i="2" s="1"/>
  <c r="P131" i="1"/>
  <c r="O124" i="1"/>
  <c r="D124" i="1"/>
  <c r="D124" i="2" s="1"/>
  <c r="F124" i="1"/>
  <c r="C124" i="1"/>
  <c r="A124" i="1"/>
  <c r="C76" i="1"/>
  <c r="D76" i="1"/>
  <c r="D76" i="2" s="1"/>
  <c r="P76" i="1"/>
  <c r="O76" i="1"/>
  <c r="E76" i="1"/>
  <c r="F76" i="1"/>
  <c r="F50" i="1"/>
  <c r="C50" i="1"/>
  <c r="O50" i="1"/>
  <c r="D50" i="1"/>
  <c r="D50" i="2" s="1"/>
  <c r="E50" i="1"/>
  <c r="P50" i="1"/>
  <c r="R14" i="2"/>
  <c r="R25" i="2"/>
  <c r="R43" i="2"/>
  <c r="R49" i="2"/>
  <c r="R67" i="2"/>
  <c r="R75" i="2"/>
  <c r="R83" i="2"/>
  <c r="R91" i="2"/>
  <c r="R99" i="2"/>
  <c r="R107" i="2"/>
  <c r="R115" i="2"/>
  <c r="R123" i="2"/>
  <c r="R132" i="2"/>
  <c r="R53" i="2"/>
  <c r="R28" i="2"/>
  <c r="R42" i="2"/>
  <c r="R58" i="2"/>
  <c r="R76" i="2"/>
  <c r="R92" i="2"/>
  <c r="R108" i="2"/>
  <c r="R124" i="2"/>
  <c r="R26" i="2"/>
  <c r="R48" i="2"/>
  <c r="R62" i="2"/>
  <c r="R78" i="2"/>
  <c r="R94" i="2"/>
  <c r="R110" i="2"/>
  <c r="R126" i="2"/>
  <c r="R31" i="2"/>
  <c r="R61" i="2"/>
  <c r="R77" i="2"/>
  <c r="R93" i="2"/>
  <c r="R109" i="2"/>
  <c r="R125" i="2"/>
  <c r="R55" i="2"/>
  <c r="R38" i="2"/>
  <c r="R104" i="2"/>
  <c r="R19" i="2"/>
  <c r="R18" i="2"/>
  <c r="R24" i="2"/>
  <c r="R32" i="2"/>
  <c r="R39" i="2"/>
  <c r="R65" i="2"/>
  <c r="R81" i="2"/>
  <c r="R97" i="2"/>
  <c r="R113" i="2"/>
  <c r="R130" i="2"/>
  <c r="R59" i="2"/>
  <c r="R90" i="2"/>
  <c r="R54" i="2"/>
  <c r="R33" i="2"/>
  <c r="R133" i="2"/>
  <c r="R64" i="2"/>
  <c r="R52" i="2"/>
  <c r="R114" i="2"/>
  <c r="R46" i="2"/>
  <c r="R112" i="2"/>
  <c r="R36" i="2"/>
  <c r="R98" i="2"/>
  <c r="R23" i="2"/>
  <c r="R44" i="2"/>
  <c r="R96" i="2"/>
  <c r="A19" i="3"/>
  <c r="R71" i="2"/>
  <c r="R103" i="2"/>
  <c r="R37" i="2"/>
  <c r="R68" i="2"/>
  <c r="R70" i="2"/>
  <c r="R129" i="2"/>
  <c r="R21" i="2"/>
  <c r="R101" i="2"/>
  <c r="R73" i="2"/>
  <c r="R45" i="2"/>
  <c r="R122" i="2"/>
  <c r="R131" i="2"/>
  <c r="R29" i="2"/>
  <c r="R106" i="2"/>
  <c r="R16" i="2"/>
  <c r="R63" i="2"/>
  <c r="R95" i="2"/>
  <c r="R127" i="2"/>
  <c r="R50" i="2"/>
  <c r="R116" i="2"/>
  <c r="R27" i="2"/>
  <c r="R56" i="2"/>
  <c r="R118" i="2"/>
  <c r="R85" i="2"/>
  <c r="R41" i="2"/>
  <c r="R121" i="2"/>
  <c r="R72" i="2"/>
  <c r="R60" i="2"/>
  <c r="R30" i="2"/>
  <c r="R80" i="2"/>
  <c r="R120" i="2"/>
  <c r="R87" i="2"/>
  <c r="R34" i="2"/>
  <c r="R40" i="2"/>
  <c r="R47" i="2"/>
  <c r="R89" i="2"/>
  <c r="R20" i="2"/>
  <c r="R17" i="2"/>
  <c r="R79" i="2"/>
  <c r="R57" i="2"/>
  <c r="R134" i="2"/>
  <c r="R22" i="2"/>
  <c r="R13" i="2"/>
  <c r="R82" i="2"/>
  <c r="R12" i="2"/>
  <c r="M15" i="4"/>
  <c r="I69" i="1"/>
  <c r="J70" i="1" s="1"/>
  <c r="I57" i="1"/>
  <c r="J58" i="1" s="1"/>
  <c r="G75" i="1"/>
  <c r="T75" i="1" s="1"/>
  <c r="C100" i="2"/>
  <c r="G100" i="2" s="1"/>
  <c r="T100" i="2" s="1"/>
  <c r="E124" i="1"/>
  <c r="G98" i="1"/>
  <c r="T98" i="1" s="1"/>
  <c r="C98" i="2"/>
  <c r="G98" i="2" s="1"/>
  <c r="T98" i="2" s="1"/>
  <c r="A131" i="1"/>
  <c r="O109" i="1"/>
  <c r="N71" i="1"/>
  <c r="M70" i="1" s="1"/>
  <c r="I131" i="1"/>
  <c r="J132" i="1" s="1"/>
  <c r="S132" i="1"/>
  <c r="N57" i="1"/>
  <c r="S57" i="1"/>
  <c r="I56" i="1"/>
  <c r="J57" i="1" s="1"/>
  <c r="O73" i="1"/>
  <c r="N64" i="1"/>
  <c r="M64" i="1" s="1"/>
  <c r="I63" i="1"/>
  <c r="J64" i="1" s="1"/>
  <c r="C14" i="1"/>
  <c r="R88" i="2"/>
  <c r="R69" i="2"/>
  <c r="R102" i="2"/>
  <c r="R111" i="2"/>
  <c r="I49" i="1"/>
  <c r="J50" i="1" s="1"/>
  <c r="N50" i="1"/>
  <c r="S50" i="1"/>
  <c r="F91" i="2"/>
  <c r="I107" i="1"/>
  <c r="J108" i="1" s="1"/>
  <c r="S108" i="1"/>
  <c r="A113" i="1"/>
  <c r="F113" i="1"/>
  <c r="E113" i="1"/>
  <c r="C113" i="1"/>
  <c r="P113" i="1"/>
  <c r="D113" i="1"/>
  <c r="D113" i="2" s="1"/>
  <c r="A105" i="1"/>
  <c r="F105" i="1"/>
  <c r="E105" i="1"/>
  <c r="C105" i="1"/>
  <c r="P105" i="1"/>
  <c r="A77" i="1"/>
  <c r="C77" i="1"/>
  <c r="F77" i="1"/>
  <c r="P77" i="1"/>
  <c r="D77" i="1"/>
  <c r="D77" i="2" s="1"/>
  <c r="E77" i="1"/>
  <c r="O77" i="1"/>
  <c r="O69" i="1"/>
  <c r="P69" i="1"/>
  <c r="C69" i="1"/>
  <c r="D69" i="1"/>
  <c r="D69" i="2" s="1"/>
  <c r="M7" i="4"/>
  <c r="A101" i="1"/>
  <c r="D105" i="1"/>
  <c r="D105" i="2" s="1"/>
  <c r="S123" i="1"/>
  <c r="N123" i="1"/>
  <c r="O90" i="2"/>
  <c r="P90" i="2"/>
  <c r="E90" i="2"/>
  <c r="F88" i="2"/>
  <c r="A88" i="2"/>
  <c r="E88" i="2"/>
  <c r="G58" i="1"/>
  <c r="T58" i="1" s="1"/>
  <c r="C58" i="2"/>
  <c r="G58" i="2" s="1"/>
  <c r="T58" i="2" s="1"/>
  <c r="O127" i="1"/>
  <c r="P127" i="1"/>
  <c r="F127" i="1"/>
  <c r="E127" i="1"/>
  <c r="A127" i="1"/>
  <c r="D127" i="1"/>
  <c r="D127" i="2" s="1"/>
  <c r="C127" i="1"/>
  <c r="D122" i="1"/>
  <c r="D122" i="2" s="1"/>
  <c r="F122" i="1"/>
  <c r="A122" i="1"/>
  <c r="C122" i="1"/>
  <c r="C119" i="1"/>
  <c r="A119" i="1"/>
  <c r="O119" i="1"/>
  <c r="E119" i="1"/>
  <c r="F119" i="1"/>
  <c r="P119" i="1"/>
  <c r="D112" i="1"/>
  <c r="D112" i="2" s="1"/>
  <c r="F112" i="1"/>
  <c r="P112" i="1"/>
  <c r="O112" i="1"/>
  <c r="A112" i="1"/>
  <c r="A72" i="1"/>
  <c r="E72" i="1"/>
  <c r="D72" i="1"/>
  <c r="D72" i="2" s="1"/>
  <c r="F72" i="1"/>
  <c r="O72" i="1"/>
  <c r="P72" i="1"/>
  <c r="O53" i="1"/>
  <c r="D53" i="1"/>
  <c r="D53" i="2" s="1"/>
  <c r="E53" i="1"/>
  <c r="P53" i="1"/>
  <c r="F53" i="1"/>
  <c r="N12" i="2"/>
  <c r="M5" i="4"/>
  <c r="M12" i="4"/>
  <c r="N68" i="1"/>
  <c r="M67" i="1" s="1"/>
  <c r="L67" i="1" s="1"/>
  <c r="S78" i="1"/>
  <c r="L83" i="1"/>
  <c r="M98" i="1"/>
  <c r="L98" i="1" s="1"/>
  <c r="T11" i="2"/>
  <c r="I73" i="1"/>
  <c r="J74" i="1" s="1"/>
  <c r="G78" i="1"/>
  <c r="T78" i="1" s="1"/>
  <c r="F69" i="1"/>
  <c r="P124" i="1"/>
  <c r="E122" i="1"/>
  <c r="O88" i="2"/>
  <c r="C112" i="1"/>
  <c r="A76" i="1"/>
  <c r="A53" i="1"/>
  <c r="F73" i="1"/>
  <c r="R74" i="2"/>
  <c r="R117" i="2"/>
  <c r="R119" i="2"/>
  <c r="D26" i="3"/>
  <c r="D27" i="3" s="1"/>
  <c r="D28" i="3" s="1"/>
  <c r="D29" i="3" s="1"/>
  <c r="D30" i="3" s="1"/>
  <c r="D31" i="3" s="1"/>
  <c r="D32" i="3" s="1"/>
  <c r="D33" i="3" s="1"/>
  <c r="D34" i="3" s="1"/>
  <c r="D35" i="3" s="1"/>
  <c r="D36" i="3" s="1"/>
  <c r="D37" i="3" s="1"/>
  <c r="D38" i="3" s="1"/>
  <c r="D39" i="3" s="1"/>
  <c r="D40" i="3" s="1"/>
  <c r="D41" i="3" s="1"/>
  <c r="D42" i="3" s="1"/>
  <c r="D43" i="3" s="1"/>
  <c r="D44" i="3" s="1"/>
  <c r="D45" i="3" s="1"/>
  <c r="D46" i="3" s="1"/>
  <c r="D47" i="3" s="1"/>
  <c r="D48" i="3" s="1"/>
  <c r="D49" i="3" s="1"/>
  <c r="D50" i="3" s="1"/>
  <c r="D51" i="3" s="1"/>
  <c r="D52" i="3" s="1"/>
  <c r="D53" i="3" s="1"/>
  <c r="D54" i="3" s="1"/>
  <c r="D55" i="3" s="1"/>
  <c r="D56" i="3" s="1"/>
  <c r="D57" i="3" s="1"/>
  <c r="D58" i="3" s="1"/>
  <c r="D59" i="3" s="1"/>
  <c r="D60" i="3" s="1"/>
  <c r="D61" i="3" s="1"/>
  <c r="D62" i="3" s="1"/>
  <c r="D63" i="3" s="1"/>
  <c r="D64" i="3" s="1"/>
  <c r="D65" i="3" s="1"/>
  <c r="D66" i="3" s="1"/>
  <c r="D67" i="3" s="1"/>
  <c r="D68" i="3" s="1"/>
  <c r="D69" i="3" s="1"/>
  <c r="D70" i="3" s="1"/>
  <c r="D71" i="3" s="1"/>
  <c r="D72" i="3" s="1"/>
  <c r="D73" i="3" s="1"/>
  <c r="D74" i="3" s="1"/>
  <c r="D75" i="3" s="1"/>
  <c r="D76" i="3" s="1"/>
  <c r="D77" i="3" s="1"/>
  <c r="D78" i="3" s="1"/>
  <c r="D79" i="3" s="1"/>
  <c r="D80" i="3" s="1"/>
  <c r="D81" i="3" s="1"/>
  <c r="D82" i="3" s="1"/>
  <c r="D83" i="3" s="1"/>
  <c r="D84" i="3" s="1"/>
  <c r="D85" i="3" s="1"/>
  <c r="D86" i="3" s="1"/>
  <c r="D87" i="3" s="1"/>
  <c r="D88" i="3" s="1"/>
  <c r="D89" i="3" s="1"/>
  <c r="D90" i="3" s="1"/>
  <c r="D91" i="3" s="1"/>
  <c r="D92" i="3" s="1"/>
  <c r="D93" i="3" s="1"/>
  <c r="D94" i="3" s="1"/>
  <c r="D95" i="3" s="1"/>
  <c r="D96" i="3" s="1"/>
  <c r="D97" i="3" s="1"/>
  <c r="D98" i="3" s="1"/>
  <c r="D99" i="3" s="1"/>
  <c r="D100" i="3" s="1"/>
  <c r="D101" i="3" s="1"/>
  <c r="D102" i="3" s="1"/>
  <c r="D103" i="3" s="1"/>
  <c r="D104" i="3" s="1"/>
  <c r="D105" i="3" s="1"/>
  <c r="D106" i="3" s="1"/>
  <c r="D107" i="3" s="1"/>
  <c r="D108" i="3" s="1"/>
  <c r="D109" i="3" s="1"/>
  <c r="D110" i="3" s="1"/>
  <c r="D111" i="3" s="1"/>
  <c r="D112" i="3" s="1"/>
  <c r="D113" i="3" s="1"/>
  <c r="D114" i="3" s="1"/>
  <c r="D115" i="3" s="1"/>
  <c r="D116" i="3" s="1"/>
  <c r="D117" i="3" s="1"/>
  <c r="D118" i="3" s="1"/>
  <c r="D119" i="3" s="1"/>
  <c r="D120" i="3" s="1"/>
  <c r="D121" i="3" s="1"/>
  <c r="D122" i="3" s="1"/>
  <c r="D123" i="3" s="1"/>
  <c r="D124" i="3" s="1"/>
  <c r="D125" i="3" s="1"/>
  <c r="D126" i="3" s="1"/>
  <c r="D127" i="3" s="1"/>
  <c r="D128" i="3" s="1"/>
  <c r="D129" i="3" s="1"/>
  <c r="D130" i="3" s="1"/>
  <c r="D131" i="3" s="1"/>
  <c r="D132" i="3" s="1"/>
  <c r="D133" i="3" s="1"/>
  <c r="D134" i="3" s="1"/>
  <c r="D135" i="3" s="1"/>
  <c r="D136" i="3" s="1"/>
  <c r="D137" i="3" s="1"/>
  <c r="D138" i="3" s="1"/>
  <c r="D139" i="3" s="1"/>
  <c r="D140" i="3" s="1"/>
  <c r="D141" i="3" s="1"/>
  <c r="D142" i="3" s="1"/>
  <c r="D143" i="3" s="1"/>
  <c r="D144" i="3" s="1"/>
  <c r="D145" i="3" s="1"/>
  <c r="D146" i="3" s="1"/>
  <c r="D147" i="3" s="1"/>
  <c r="N86" i="1"/>
  <c r="I85" i="1"/>
  <c r="J86" i="1" s="1"/>
  <c r="S88" i="1"/>
  <c r="N88" i="1"/>
  <c r="P51" i="2"/>
  <c r="F51" i="2"/>
  <c r="O51" i="2"/>
  <c r="E51" i="2"/>
  <c r="F70" i="2"/>
  <c r="F96" i="2"/>
  <c r="O53" i="2"/>
  <c r="E53" i="2"/>
  <c r="P87" i="2"/>
  <c r="O87" i="2"/>
  <c r="F67" i="2"/>
  <c r="O13" i="2"/>
  <c r="P13" i="2"/>
  <c r="E102" i="2"/>
  <c r="O102" i="2"/>
  <c r="F129" i="2"/>
  <c r="A129" i="2"/>
  <c r="O131" i="2"/>
  <c r="P131" i="2"/>
  <c r="E131" i="2"/>
  <c r="A130" i="2"/>
  <c r="P130" i="2"/>
  <c r="F130" i="2"/>
  <c r="F71" i="2"/>
  <c r="F100" i="2"/>
  <c r="A116" i="2"/>
  <c r="F116" i="2"/>
  <c r="E116" i="2"/>
  <c r="P64" i="2"/>
  <c r="O96" i="1"/>
  <c r="D96" i="1"/>
  <c r="D96" i="2" s="1"/>
  <c r="P96" i="1"/>
  <c r="E96" i="1"/>
  <c r="D82" i="1"/>
  <c r="D82" i="2" s="1"/>
  <c r="F82" i="1"/>
  <c r="A82" i="1"/>
  <c r="P55" i="1"/>
  <c r="F55" i="1"/>
  <c r="E49" i="1"/>
  <c r="A49" i="1"/>
  <c r="A110" i="1"/>
  <c r="F110" i="1"/>
  <c r="C110" i="1"/>
  <c r="D106" i="1"/>
  <c r="D106" i="2" s="1"/>
  <c r="C106" i="1"/>
  <c r="A106" i="1"/>
  <c r="F102" i="1"/>
  <c r="P102" i="1"/>
  <c r="O92" i="1"/>
  <c r="A92" i="1"/>
  <c r="D92" i="1"/>
  <c r="D92" i="2" s="1"/>
  <c r="F62" i="1"/>
  <c r="O62" i="1"/>
  <c r="K65" i="1"/>
  <c r="L65" i="1"/>
  <c r="K102" i="1"/>
  <c r="K94" i="1"/>
  <c r="C80" i="2"/>
  <c r="G80" i="2" s="1"/>
  <c r="T80" i="2" s="1"/>
  <c r="G80" i="1"/>
  <c r="T80" i="1" s="1"/>
  <c r="S80" i="1"/>
  <c r="N80" i="1"/>
  <c r="L84" i="1"/>
  <c r="K84" i="1"/>
  <c r="N15" i="1"/>
  <c r="E79" i="2"/>
  <c r="B16" i="3"/>
  <c r="B16" i="4" s="1"/>
  <c r="B19" i="3"/>
  <c r="B15" i="3"/>
  <c r="B15" i="4" s="1"/>
  <c r="A79" i="2"/>
  <c r="O60" i="2"/>
  <c r="F60" i="2"/>
  <c r="E60" i="2"/>
  <c r="A60" i="2"/>
  <c r="F79" i="2"/>
  <c r="N51" i="1"/>
  <c r="I50" i="1"/>
  <c r="J51" i="1" s="1"/>
  <c r="P79" i="2"/>
  <c r="A82" i="2"/>
  <c r="P82" i="2"/>
  <c r="A94" i="2"/>
  <c r="O56" i="2"/>
  <c r="M4" i="1"/>
  <c r="N4" i="1"/>
  <c r="P38" i="1" s="1"/>
  <c r="P45" i="1"/>
  <c r="P17" i="1"/>
  <c r="S64" i="1"/>
  <c r="I83" i="1"/>
  <c r="J84" i="1" s="1"/>
  <c r="O94" i="2"/>
  <c r="P40" i="1"/>
  <c r="A4" i="2"/>
  <c r="F131" i="2"/>
  <c r="A131" i="2"/>
  <c r="O130" i="2"/>
  <c r="E130" i="2"/>
  <c r="A109" i="2"/>
  <c r="F109" i="2"/>
  <c r="O109" i="2"/>
  <c r="P109" i="2"/>
  <c r="P31" i="1"/>
  <c r="P23" i="1"/>
  <c r="A69" i="1"/>
  <c r="D111" i="1"/>
  <c r="D111" i="2" s="1"/>
  <c r="P82" i="1"/>
  <c r="E82" i="1"/>
  <c r="C72" i="1"/>
  <c r="D13" i="1"/>
  <c r="F86" i="2"/>
  <c r="P58" i="1"/>
  <c r="C111" i="1"/>
  <c r="E111" i="1"/>
  <c r="A111" i="1"/>
  <c r="O106" i="1"/>
  <c r="K96" i="1" l="1"/>
  <c r="L96" i="1"/>
  <c r="K74" i="1"/>
  <c r="L74" i="1"/>
  <c r="K59" i="1"/>
  <c r="L59" i="1"/>
  <c r="M58" i="1"/>
  <c r="I119" i="1"/>
  <c r="J120" i="1" s="1"/>
  <c r="S120" i="1"/>
  <c r="N120" i="1"/>
  <c r="A56" i="2"/>
  <c r="F49" i="2"/>
  <c r="E64" i="2"/>
  <c r="E100" i="2"/>
  <c r="E91" i="2"/>
  <c r="M95" i="1"/>
  <c r="S79" i="1"/>
  <c r="I78" i="1"/>
  <c r="J79" i="1" s="1"/>
  <c r="N79" i="1"/>
  <c r="N93" i="1"/>
  <c r="M93" i="1" s="1"/>
  <c r="S93" i="1"/>
  <c r="I92" i="1"/>
  <c r="J93" i="1" s="1"/>
  <c r="L97" i="1"/>
  <c r="K97" i="1"/>
  <c r="G89" i="1"/>
  <c r="T89" i="1" s="1"/>
  <c r="C89" i="2"/>
  <c r="G89" i="2" s="1"/>
  <c r="T89" i="2" s="1"/>
  <c r="G93" i="1"/>
  <c r="T93" i="1" s="1"/>
  <c r="C93" i="2"/>
  <c r="G93" i="2" s="1"/>
  <c r="T93" i="2" s="1"/>
  <c r="C59" i="2"/>
  <c r="G59" i="2" s="1"/>
  <c r="T59" i="2" s="1"/>
  <c r="F64" i="2"/>
  <c r="P100" i="2"/>
  <c r="F62" i="2"/>
  <c r="P56" i="2"/>
  <c r="P124" i="2"/>
  <c r="F90" i="2"/>
  <c r="I70" i="1"/>
  <c r="J71" i="1" s="1"/>
  <c r="F108" i="2"/>
  <c r="K61" i="1"/>
  <c r="K4" i="1"/>
  <c r="I12" i="1"/>
  <c r="J13" i="1" s="1"/>
  <c r="S13" i="1"/>
  <c r="N13" i="1"/>
  <c r="M12" i="1" s="1"/>
  <c r="A13" i="2"/>
  <c r="S63" i="1"/>
  <c r="I62" i="1"/>
  <c r="J63" i="1" s="1"/>
  <c r="N63" i="1"/>
  <c r="S104" i="1"/>
  <c r="N104" i="1"/>
  <c r="M103" i="1" s="1"/>
  <c r="I103" i="1"/>
  <c r="J104" i="1" s="1"/>
  <c r="N89" i="1"/>
  <c r="M89" i="1" s="1"/>
  <c r="I88" i="1"/>
  <c r="J89" i="1" s="1"/>
  <c r="S89" i="1"/>
  <c r="M78" i="1"/>
  <c r="M88" i="1"/>
  <c r="G63" i="1"/>
  <c r="T63" i="1" s="1"/>
  <c r="C63" i="2"/>
  <c r="G63" i="2" s="1"/>
  <c r="T63" i="2" s="1"/>
  <c r="A124" i="2"/>
  <c r="A91" i="2"/>
  <c r="F56" i="2"/>
  <c r="F82" i="2"/>
  <c r="P86" i="2"/>
  <c r="C92" i="2"/>
  <c r="G92" i="2" s="1"/>
  <c r="T92" i="2" s="1"/>
  <c r="O82" i="2"/>
  <c r="A64" i="2"/>
  <c r="A100" i="2"/>
  <c r="O91" i="2"/>
  <c r="G129" i="1"/>
  <c r="T129" i="1" s="1"/>
  <c r="M120" i="1"/>
  <c r="C55" i="2"/>
  <c r="G55" i="2" s="1"/>
  <c r="T55" i="2" s="1"/>
  <c r="G55" i="1"/>
  <c r="T55" i="1" s="1"/>
  <c r="N55" i="1"/>
  <c r="I54" i="1"/>
  <c r="J55" i="1" s="1"/>
  <c r="S55" i="1"/>
  <c r="L120" i="1"/>
  <c r="K120" i="1"/>
  <c r="G117" i="1"/>
  <c r="T117" i="1" s="1"/>
  <c r="C117" i="2"/>
  <c r="G117" i="2" s="1"/>
  <c r="T117" i="2" s="1"/>
  <c r="O55" i="2"/>
  <c r="P55" i="2"/>
  <c r="F55" i="2"/>
  <c r="E55" i="2"/>
  <c r="A55" i="2"/>
  <c r="O78" i="2"/>
  <c r="E78" i="2"/>
  <c r="P78" i="2"/>
  <c r="A78" i="2"/>
  <c r="F78" i="2"/>
  <c r="P117" i="2"/>
  <c r="E117" i="2"/>
  <c r="A117" i="2"/>
  <c r="O117" i="2"/>
  <c r="F117" i="2"/>
  <c r="A92" i="2"/>
  <c r="E92" i="2"/>
  <c r="O92" i="2"/>
  <c r="F92" i="2"/>
  <c r="P92" i="2"/>
  <c r="E50" i="2"/>
  <c r="P50" i="2"/>
  <c r="F50" i="2"/>
  <c r="A50" i="2"/>
  <c r="O50" i="2"/>
  <c r="P71" i="2"/>
  <c r="E71" i="2"/>
  <c r="O71" i="2"/>
  <c r="A67" i="2"/>
  <c r="O67" i="2"/>
  <c r="E67" i="2"/>
  <c r="F101" i="2"/>
  <c r="P101" i="2"/>
  <c r="A101" i="2"/>
  <c r="E101" i="2"/>
  <c r="O101" i="2"/>
  <c r="P107" i="2"/>
  <c r="E107" i="2"/>
  <c r="A107" i="2"/>
  <c r="F107" i="2"/>
  <c r="O107" i="2"/>
  <c r="P66" i="2"/>
  <c r="A66" i="2"/>
  <c r="A134" i="2"/>
  <c r="E134" i="2"/>
  <c r="F134" i="2"/>
  <c r="P134" i="2"/>
  <c r="O134" i="2"/>
  <c r="F74" i="2"/>
  <c r="O74" i="2"/>
  <c r="P74" i="2"/>
  <c r="A74" i="2"/>
  <c r="E74" i="2"/>
  <c r="O121" i="2"/>
  <c r="F121" i="2"/>
  <c r="E121" i="2"/>
  <c r="A121" i="2"/>
  <c r="P121" i="2"/>
  <c r="E84" i="2"/>
  <c r="F84" i="2"/>
  <c r="A84" i="2"/>
  <c r="P84" i="2"/>
  <c r="O84" i="2"/>
  <c r="G121" i="1"/>
  <c r="T121" i="1" s="1"/>
  <c r="C121" i="2"/>
  <c r="G121" i="2" s="1"/>
  <c r="T121" i="2" s="1"/>
  <c r="E132" i="2"/>
  <c r="A132" i="2"/>
  <c r="O132" i="2"/>
  <c r="F111" i="2"/>
  <c r="A111" i="2"/>
  <c r="E111" i="2"/>
  <c r="O111" i="2"/>
  <c r="P111" i="2"/>
  <c r="A77" i="2"/>
  <c r="F77" i="2"/>
  <c r="P77" i="2"/>
  <c r="O77" i="2"/>
  <c r="E77" i="2"/>
  <c r="P89" i="2"/>
  <c r="F89" i="2"/>
  <c r="A89" i="2"/>
  <c r="E89" i="2"/>
  <c r="O89" i="2"/>
  <c r="A71" i="2"/>
  <c r="P67" i="2"/>
  <c r="P132" i="2"/>
  <c r="N14" i="1"/>
  <c r="M13" i="1" s="1"/>
  <c r="G99" i="1"/>
  <c r="T99" i="1" s="1"/>
  <c r="C99" i="2"/>
  <c r="G99" i="2" s="1"/>
  <c r="T99" i="2" s="1"/>
  <c r="E70" i="2"/>
  <c r="P70" i="2"/>
  <c r="A70" i="2"/>
  <c r="E115" i="2"/>
  <c r="F115" i="2"/>
  <c r="O115" i="2"/>
  <c r="P115" i="2"/>
  <c r="A115" i="2"/>
  <c r="O124" i="2"/>
  <c r="E124" i="2"/>
  <c r="E95" i="2"/>
  <c r="A95" i="2"/>
  <c r="O95" i="2"/>
  <c r="P95" i="2"/>
  <c r="F95" i="2"/>
  <c r="A112" i="2"/>
  <c r="E112" i="2"/>
  <c r="O112" i="2"/>
  <c r="F112" i="2"/>
  <c r="P112" i="2"/>
  <c r="F85" i="2"/>
  <c r="P85" i="2"/>
  <c r="A85" i="2"/>
  <c r="E85" i="2"/>
  <c r="O85" i="2"/>
  <c r="A120" i="2"/>
  <c r="O120" i="2"/>
  <c r="F120" i="2"/>
  <c r="P120" i="2"/>
  <c r="E120" i="2"/>
  <c r="P119" i="2"/>
  <c r="F119" i="2"/>
  <c r="A119" i="2"/>
  <c r="E119" i="2"/>
  <c r="O119" i="2"/>
  <c r="P83" i="2"/>
  <c r="F83" i="2"/>
  <c r="E83" i="2"/>
  <c r="O83" i="2"/>
  <c r="A83" i="2"/>
  <c r="E59" i="2"/>
  <c r="O59" i="2"/>
  <c r="A59" i="2"/>
  <c r="P59" i="2"/>
  <c r="F59" i="2"/>
  <c r="E49" i="2"/>
  <c r="P49" i="2"/>
  <c r="A49" i="2"/>
  <c r="A58" i="2"/>
  <c r="F58" i="2"/>
  <c r="E58" i="2"/>
  <c r="O58" i="2"/>
  <c r="P58" i="2"/>
  <c r="F52" i="2"/>
  <c r="E52" i="2"/>
  <c r="A52" i="2"/>
  <c r="O52" i="2"/>
  <c r="P52" i="2"/>
  <c r="E99" i="2"/>
  <c r="O99" i="2"/>
  <c r="F99" i="2"/>
  <c r="P99" i="2"/>
  <c r="A99" i="2"/>
  <c r="A106" i="2"/>
  <c r="P106" i="2"/>
  <c r="E106" i="2"/>
  <c r="F106" i="2"/>
  <c r="O106" i="2"/>
  <c r="C52" i="2"/>
  <c r="G52" i="2" s="1"/>
  <c r="T52" i="2" s="1"/>
  <c r="G52" i="1"/>
  <c r="T52" i="1" s="1"/>
  <c r="S87" i="2"/>
  <c r="B100" i="3" s="1"/>
  <c r="I86" i="2"/>
  <c r="N87" i="2"/>
  <c r="K67" i="1"/>
  <c r="F132" i="2"/>
  <c r="O66" i="2"/>
  <c r="F66" i="2"/>
  <c r="A14" i="2"/>
  <c r="S129" i="1"/>
  <c r="I128" i="1"/>
  <c r="J129" i="1" s="1"/>
  <c r="N129" i="1"/>
  <c r="C126" i="2"/>
  <c r="G126" i="2" s="1"/>
  <c r="T126" i="2" s="1"/>
  <c r="G126" i="1"/>
  <c r="T126" i="1" s="1"/>
  <c r="A123" i="2"/>
  <c r="F123" i="2"/>
  <c r="O123" i="2"/>
  <c r="E123" i="2"/>
  <c r="P123" i="2"/>
  <c r="S98" i="2"/>
  <c r="B111" i="3" s="1"/>
  <c r="N98" i="2"/>
  <c r="I97" i="2"/>
  <c r="O97" i="2"/>
  <c r="P97" i="2"/>
  <c r="A97" i="2"/>
  <c r="F97" i="2"/>
  <c r="E97" i="2"/>
  <c r="K60" i="1"/>
  <c r="L60" i="1"/>
  <c r="O96" i="2"/>
  <c r="E96" i="2"/>
  <c r="A96" i="2"/>
  <c r="P133" i="2"/>
  <c r="A133" i="2"/>
  <c r="E133" i="2"/>
  <c r="F133" i="2"/>
  <c r="O133" i="2"/>
  <c r="A63" i="2"/>
  <c r="E63" i="2"/>
  <c r="F63" i="2"/>
  <c r="P63" i="2"/>
  <c r="O63" i="2"/>
  <c r="O86" i="2"/>
  <c r="E86" i="2"/>
  <c r="F127" i="2"/>
  <c r="O127" i="2"/>
  <c r="P127" i="2"/>
  <c r="A127" i="2"/>
  <c r="E127" i="2"/>
  <c r="O76" i="2"/>
  <c r="E76" i="2"/>
  <c r="A76" i="2"/>
  <c r="F76" i="2"/>
  <c r="P76" i="2"/>
  <c r="A62" i="2"/>
  <c r="O62" i="2"/>
  <c r="E62" i="2"/>
  <c r="A105" i="2"/>
  <c r="P105" i="2"/>
  <c r="F105" i="2"/>
  <c r="O105" i="2"/>
  <c r="E105" i="2"/>
  <c r="E81" i="2"/>
  <c r="A81" i="2"/>
  <c r="F81" i="2"/>
  <c r="P81" i="2"/>
  <c r="O81" i="2"/>
  <c r="A122" i="2"/>
  <c r="E122" i="2"/>
  <c r="O122" i="2"/>
  <c r="F122" i="2"/>
  <c r="P122" i="2"/>
  <c r="O68" i="2"/>
  <c r="P68" i="2"/>
  <c r="E68" i="2"/>
  <c r="F68" i="2"/>
  <c r="A68" i="2"/>
  <c r="F114" i="2"/>
  <c r="A114" i="2"/>
  <c r="P114" i="2"/>
  <c r="E114" i="2"/>
  <c r="O114" i="2"/>
  <c r="A125" i="2"/>
  <c r="P125" i="2"/>
  <c r="F125" i="2"/>
  <c r="O125" i="2"/>
  <c r="E125" i="2"/>
  <c r="A128" i="2"/>
  <c r="F128" i="2"/>
  <c r="P128" i="2"/>
  <c r="O128" i="2"/>
  <c r="E128" i="2"/>
  <c r="O73" i="2"/>
  <c r="E73" i="2"/>
  <c r="F73" i="2"/>
  <c r="P73" i="2"/>
  <c r="A73" i="2"/>
  <c r="F110" i="2"/>
  <c r="E110" i="2"/>
  <c r="O110" i="2"/>
  <c r="A110" i="2"/>
  <c r="P110" i="2"/>
  <c r="P94" i="2"/>
  <c r="E94" i="2"/>
  <c r="I51" i="1"/>
  <c r="J52" i="1" s="1"/>
  <c r="S52" i="1"/>
  <c r="N52" i="1"/>
  <c r="M51" i="1" s="1"/>
  <c r="E66" i="2"/>
  <c r="I116" i="1"/>
  <c r="J117" i="1" s="1"/>
  <c r="S117" i="1"/>
  <c r="N117" i="1"/>
  <c r="M117" i="1" s="1"/>
  <c r="K117" i="1" s="1"/>
  <c r="C133" i="2"/>
  <c r="G133" i="2" s="1"/>
  <c r="T133" i="2" s="1"/>
  <c r="G133" i="1"/>
  <c r="T133" i="1" s="1"/>
  <c r="N51" i="2"/>
  <c r="I50" i="2"/>
  <c r="S51" i="2"/>
  <c r="B64" i="3" s="1"/>
  <c r="O57" i="2"/>
  <c r="F57" i="2"/>
  <c r="E57" i="2"/>
  <c r="A57" i="2"/>
  <c r="P57" i="2"/>
  <c r="E75" i="2"/>
  <c r="O75" i="2"/>
  <c r="F75" i="2"/>
  <c r="A75" i="2"/>
  <c r="P75" i="2"/>
  <c r="P72" i="2"/>
  <c r="E72" i="2"/>
  <c r="F72" i="2"/>
  <c r="A72" i="2"/>
  <c r="O72" i="2"/>
  <c r="A53" i="2"/>
  <c r="F53" i="2"/>
  <c r="P53" i="2"/>
  <c r="A65" i="2"/>
  <c r="F65" i="2"/>
  <c r="P65" i="2"/>
  <c r="E65" i="2"/>
  <c r="O65" i="2"/>
  <c r="P116" i="2"/>
  <c r="O116" i="2"/>
  <c r="E54" i="2"/>
  <c r="A54" i="2"/>
  <c r="O54" i="2"/>
  <c r="P54" i="2"/>
  <c r="F54" i="2"/>
  <c r="F102" i="2"/>
  <c r="P102" i="2"/>
  <c r="A102" i="2"/>
  <c r="P129" i="2"/>
  <c r="E129" i="2"/>
  <c r="O129" i="2"/>
  <c r="F80" i="2"/>
  <c r="E80" i="2"/>
  <c r="O80" i="2"/>
  <c r="P80" i="2"/>
  <c r="A80" i="2"/>
  <c r="A118" i="2"/>
  <c r="P118" i="2"/>
  <c r="O118" i="2"/>
  <c r="E118" i="2"/>
  <c r="F118" i="2"/>
  <c r="O69" i="2"/>
  <c r="F69" i="2"/>
  <c r="E69" i="2"/>
  <c r="A69" i="2"/>
  <c r="P69" i="2"/>
  <c r="E103" i="2"/>
  <c r="A103" i="2"/>
  <c r="O103" i="2"/>
  <c r="P103" i="2"/>
  <c r="F103" i="2"/>
  <c r="O104" i="2"/>
  <c r="A104" i="2"/>
  <c r="P104" i="2"/>
  <c r="F104" i="2"/>
  <c r="E104" i="2"/>
  <c r="F126" i="2"/>
  <c r="E126" i="2"/>
  <c r="P126" i="2"/>
  <c r="A126" i="2"/>
  <c r="O126" i="2"/>
  <c r="E61" i="2"/>
  <c r="O61" i="2"/>
  <c r="F61" i="2"/>
  <c r="P61" i="2"/>
  <c r="A61" i="2"/>
  <c r="E113" i="2"/>
  <c r="A113" i="2"/>
  <c r="O113" i="2"/>
  <c r="F113" i="2"/>
  <c r="P113" i="2"/>
  <c r="P93" i="2"/>
  <c r="E93" i="2"/>
  <c r="O93" i="2"/>
  <c r="A93" i="2"/>
  <c r="F93" i="2"/>
  <c r="L70" i="1"/>
  <c r="K70" i="1"/>
  <c r="G106" i="1"/>
  <c r="T106" i="1" s="1"/>
  <c r="C106" i="2"/>
  <c r="G106" i="2" s="1"/>
  <c r="T106" i="2" s="1"/>
  <c r="N116" i="2"/>
  <c r="S116" i="2"/>
  <c r="B129" i="3" s="1"/>
  <c r="I115" i="2"/>
  <c r="C14" i="2"/>
  <c r="C15" i="1"/>
  <c r="G12" i="2"/>
  <c r="T12" i="2"/>
  <c r="K95" i="1"/>
  <c r="L95" i="1"/>
  <c r="I108" i="1"/>
  <c r="J109" i="1" s="1"/>
  <c r="N109" i="1"/>
  <c r="S109" i="1"/>
  <c r="I107" i="2"/>
  <c r="N108" i="2"/>
  <c r="S108" i="2"/>
  <c r="B121" i="3" s="1"/>
  <c r="K98" i="1"/>
  <c r="N49" i="1"/>
  <c r="M49" i="1" s="1"/>
  <c r="S49" i="1"/>
  <c r="I48" i="1"/>
  <c r="J49" i="1" s="1"/>
  <c r="S130" i="2"/>
  <c r="B143" i="3" s="1"/>
  <c r="N130" i="2"/>
  <c r="I129" i="2"/>
  <c r="C69" i="2"/>
  <c r="G69" i="2" s="1"/>
  <c r="T69" i="2" s="1"/>
  <c r="G69" i="1"/>
  <c r="T69" i="1" s="1"/>
  <c r="G77" i="1"/>
  <c r="T77" i="1" s="1"/>
  <c r="C77" i="2"/>
  <c r="G77" i="2" s="1"/>
  <c r="T77" i="2" s="1"/>
  <c r="S113" i="1"/>
  <c r="N113" i="1"/>
  <c r="M113" i="1" s="1"/>
  <c r="I112" i="1"/>
  <c r="J113" i="1" s="1"/>
  <c r="S131" i="1"/>
  <c r="I130" i="1"/>
  <c r="J131" i="1" s="1"/>
  <c r="N131" i="1"/>
  <c r="G50" i="1"/>
  <c r="T50" i="1" s="1"/>
  <c r="C50" i="2"/>
  <c r="G50" i="2" s="1"/>
  <c r="T50" i="2" s="1"/>
  <c r="S124" i="1"/>
  <c r="N124" i="1"/>
  <c r="M124" i="1" s="1"/>
  <c r="I123" i="1"/>
  <c r="J124" i="1" s="1"/>
  <c r="S73" i="1"/>
  <c r="I72" i="1"/>
  <c r="J73" i="1" s="1"/>
  <c r="N73" i="1"/>
  <c r="M73" i="1" s="1"/>
  <c r="C101" i="2"/>
  <c r="G101" i="2" s="1"/>
  <c r="T101" i="2" s="1"/>
  <c r="G101" i="1"/>
  <c r="T101" i="1" s="1"/>
  <c r="C116" i="2"/>
  <c r="G116" i="2" s="1"/>
  <c r="T116" i="2" s="1"/>
  <c r="G116" i="1"/>
  <c r="T116" i="1" s="1"/>
  <c r="C119" i="2"/>
  <c r="G119" i="2" s="1"/>
  <c r="T119" i="2" s="1"/>
  <c r="G119" i="1"/>
  <c r="T119" i="1" s="1"/>
  <c r="C105" i="2"/>
  <c r="G105" i="2" s="1"/>
  <c r="T105" i="2" s="1"/>
  <c r="G105" i="1"/>
  <c r="T105" i="1" s="1"/>
  <c r="G76" i="1"/>
  <c r="T76" i="1" s="1"/>
  <c r="C76" i="2"/>
  <c r="G76" i="2" s="1"/>
  <c r="T76" i="2" s="1"/>
  <c r="C109" i="2"/>
  <c r="G109" i="2" s="1"/>
  <c r="T109" i="2" s="1"/>
  <c r="G109" i="1"/>
  <c r="T109" i="1" s="1"/>
  <c r="S72" i="1"/>
  <c r="N72" i="1"/>
  <c r="M72" i="1" s="1"/>
  <c r="I71" i="1"/>
  <c r="J72" i="1" s="1"/>
  <c r="C122" i="2"/>
  <c r="G122" i="2" s="1"/>
  <c r="T122" i="2" s="1"/>
  <c r="G122" i="1"/>
  <c r="T122" i="1" s="1"/>
  <c r="C110" i="2"/>
  <c r="G110" i="2" s="1"/>
  <c r="T110" i="2" s="1"/>
  <c r="G110" i="1"/>
  <c r="T110" i="1" s="1"/>
  <c r="S64" i="2"/>
  <c r="B77" i="3" s="1"/>
  <c r="I63" i="2"/>
  <c r="N64" i="2"/>
  <c r="N100" i="2"/>
  <c r="I99" i="2"/>
  <c r="S100" i="2"/>
  <c r="B113" i="3" s="1"/>
  <c r="S71" i="2"/>
  <c r="B84" i="3" s="1"/>
  <c r="I70" i="2"/>
  <c r="N71" i="2"/>
  <c r="M87" i="1"/>
  <c r="L117" i="1"/>
  <c r="S112" i="1"/>
  <c r="N112" i="1"/>
  <c r="M112" i="1" s="1"/>
  <c r="I111" i="1"/>
  <c r="J112" i="1" s="1"/>
  <c r="I121" i="1"/>
  <c r="J122" i="1" s="1"/>
  <c r="S122" i="1"/>
  <c r="N122" i="1"/>
  <c r="I76" i="1"/>
  <c r="J77" i="1" s="1"/>
  <c r="S77" i="1"/>
  <c r="N77" i="1"/>
  <c r="M77" i="1" s="1"/>
  <c r="G113" i="1"/>
  <c r="T113" i="1" s="1"/>
  <c r="C113" i="2"/>
  <c r="G113" i="2" s="1"/>
  <c r="T113" i="2" s="1"/>
  <c r="N91" i="2"/>
  <c r="S91" i="2"/>
  <c r="B104" i="3" s="1"/>
  <c r="I90" i="2"/>
  <c r="K64" i="1"/>
  <c r="L64" i="1"/>
  <c r="M57" i="1"/>
  <c r="M56" i="1"/>
  <c r="C124" i="2"/>
  <c r="G124" i="2" s="1"/>
  <c r="T124" i="2" s="1"/>
  <c r="G124" i="1"/>
  <c r="T124" i="1" s="1"/>
  <c r="S116" i="1"/>
  <c r="N116" i="1"/>
  <c r="I115" i="1"/>
  <c r="J116" i="1" s="1"/>
  <c r="K133" i="1"/>
  <c r="L133" i="1"/>
  <c r="I109" i="1"/>
  <c r="J110" i="1" s="1"/>
  <c r="S110" i="1"/>
  <c r="N110" i="1"/>
  <c r="N76" i="1"/>
  <c r="S76" i="1"/>
  <c r="I75" i="1"/>
  <c r="J76" i="1" s="1"/>
  <c r="R136" i="2"/>
  <c r="R11" i="2" s="1"/>
  <c r="N82" i="1"/>
  <c r="I81" i="1"/>
  <c r="J82" i="1" s="1"/>
  <c r="I123" i="2"/>
  <c r="N124" i="2"/>
  <c r="S124" i="2"/>
  <c r="B137" i="3" s="1"/>
  <c r="M86" i="1"/>
  <c r="M85" i="1"/>
  <c r="G127" i="1"/>
  <c r="T127" i="1" s="1"/>
  <c r="C127" i="2"/>
  <c r="G127" i="2" s="1"/>
  <c r="T127" i="2" s="1"/>
  <c r="S82" i="1"/>
  <c r="N92" i="1"/>
  <c r="S92" i="1"/>
  <c r="I91" i="1"/>
  <c r="J92" i="1" s="1"/>
  <c r="I105" i="1"/>
  <c r="J106" i="1" s="1"/>
  <c r="S106" i="1"/>
  <c r="N106" i="1"/>
  <c r="M106" i="1" s="1"/>
  <c r="S129" i="2"/>
  <c r="B142" i="3" s="1"/>
  <c r="I128" i="2"/>
  <c r="N129" i="2"/>
  <c r="N53" i="1"/>
  <c r="S53" i="1"/>
  <c r="I52" i="1"/>
  <c r="J53" i="1" s="1"/>
  <c r="C112" i="2"/>
  <c r="G112" i="2" s="1"/>
  <c r="T112" i="2" s="1"/>
  <c r="G112" i="1"/>
  <c r="T112" i="1" s="1"/>
  <c r="S119" i="1"/>
  <c r="I118" i="1"/>
  <c r="J119" i="1" s="1"/>
  <c r="N119" i="1"/>
  <c r="I126" i="1"/>
  <c r="J127" i="1" s="1"/>
  <c r="S127" i="1"/>
  <c r="N127" i="1"/>
  <c r="N88" i="2"/>
  <c r="S88" i="2"/>
  <c r="B101" i="3" s="1"/>
  <c r="I87" i="2"/>
  <c r="N90" i="2"/>
  <c r="I89" i="2"/>
  <c r="S90" i="2"/>
  <c r="B103" i="3" s="1"/>
  <c r="I100" i="1"/>
  <c r="J101" i="1" s="1"/>
  <c r="S101" i="1"/>
  <c r="N101" i="1"/>
  <c r="I104" i="1"/>
  <c r="J105" i="1" s="1"/>
  <c r="N105" i="1"/>
  <c r="S105" i="1"/>
  <c r="G131" i="1"/>
  <c r="T131" i="1" s="1"/>
  <c r="C131" i="2"/>
  <c r="G131" i="2" s="1"/>
  <c r="T131" i="2" s="1"/>
  <c r="C73" i="2"/>
  <c r="G73" i="2" s="1"/>
  <c r="T73" i="2" s="1"/>
  <c r="G73" i="1"/>
  <c r="T73" i="1" s="1"/>
  <c r="L132" i="1"/>
  <c r="K132" i="1"/>
  <c r="N16" i="1"/>
  <c r="M15" i="1" s="1"/>
  <c r="A17" i="1"/>
  <c r="S16" i="1"/>
  <c r="G111" i="1"/>
  <c r="T111" i="1" s="1"/>
  <c r="C111" i="2"/>
  <c r="G111" i="2" s="1"/>
  <c r="T111" i="2" s="1"/>
  <c r="D13" i="2"/>
  <c r="E13" i="1"/>
  <c r="S109" i="2"/>
  <c r="B122" i="3" s="1"/>
  <c r="N109" i="2"/>
  <c r="I108" i="2"/>
  <c r="P29" i="1"/>
  <c r="N82" i="2"/>
  <c r="S82" i="2"/>
  <c r="B95" i="3" s="1"/>
  <c r="I81" i="2"/>
  <c r="M4" i="2"/>
  <c r="N4" i="2"/>
  <c r="M80" i="1"/>
  <c r="M79" i="1"/>
  <c r="C72" i="2"/>
  <c r="G72" i="2" s="1"/>
  <c r="T72" i="2" s="1"/>
  <c r="G72" i="1"/>
  <c r="T72" i="1" s="1"/>
  <c r="N69" i="1"/>
  <c r="S69" i="1"/>
  <c r="I68" i="1"/>
  <c r="J69" i="1" s="1"/>
  <c r="N94" i="2"/>
  <c r="I93" i="2"/>
  <c r="S94" i="2"/>
  <c r="B107" i="3" s="1"/>
  <c r="I59" i="2"/>
  <c r="N60" i="2"/>
  <c r="S60" i="2"/>
  <c r="B73" i="3" s="1"/>
  <c r="M14" i="1"/>
  <c r="L12" i="1"/>
  <c r="K12" i="1"/>
  <c r="N131" i="2"/>
  <c r="I130" i="2"/>
  <c r="S131" i="2"/>
  <c r="B144" i="3" s="1"/>
  <c r="O12" i="1"/>
  <c r="I110" i="1"/>
  <c r="J111" i="1" s="1"/>
  <c r="S111" i="1"/>
  <c r="N111" i="1"/>
  <c r="I85" i="2"/>
  <c r="N86" i="2"/>
  <c r="S86" i="2"/>
  <c r="B99" i="3" s="1"/>
  <c r="P12" i="1"/>
  <c r="P37" i="1"/>
  <c r="P14" i="1"/>
  <c r="P43" i="1"/>
  <c r="P48" i="1"/>
  <c r="P27" i="1"/>
  <c r="P39" i="1"/>
  <c r="P41" i="1"/>
  <c r="P46" i="1"/>
  <c r="P24" i="1"/>
  <c r="P26" i="1"/>
  <c r="P19" i="1"/>
  <c r="P25" i="1"/>
  <c r="P21" i="1"/>
  <c r="P36" i="1"/>
  <c r="P30" i="1"/>
  <c r="P44" i="1"/>
  <c r="P35" i="1"/>
  <c r="P47" i="1"/>
  <c r="P42" i="1"/>
  <c r="P34" i="1"/>
  <c r="P32" i="1"/>
  <c r="P22" i="1"/>
  <c r="P18" i="1"/>
  <c r="P15" i="1"/>
  <c r="P28" i="1"/>
  <c r="P16" i="1"/>
  <c r="P33" i="1"/>
  <c r="P20" i="1"/>
  <c r="I55" i="2"/>
  <c r="S56" i="2"/>
  <c r="B69" i="3" s="1"/>
  <c r="N56" i="2"/>
  <c r="M50" i="1"/>
  <c r="I78" i="2"/>
  <c r="S79" i="2"/>
  <c r="B92" i="3" s="1"/>
  <c r="N79" i="2"/>
  <c r="K103" i="1"/>
  <c r="L103" i="1"/>
  <c r="K93" i="1" l="1"/>
  <c r="L93" i="1"/>
  <c r="N13" i="2"/>
  <c r="M12" i="2" s="1"/>
  <c r="S13" i="2"/>
  <c r="B26" i="3" s="1"/>
  <c r="I12" i="2"/>
  <c r="K4" i="2"/>
  <c r="L58" i="1"/>
  <c r="K58" i="1"/>
  <c r="L88" i="1"/>
  <c r="K88" i="1"/>
  <c r="K89" i="1"/>
  <c r="L89" i="1"/>
  <c r="M62" i="1"/>
  <c r="M63" i="1"/>
  <c r="M54" i="1"/>
  <c r="M55" i="1"/>
  <c r="L78" i="1"/>
  <c r="K78" i="1"/>
  <c r="N93" i="2"/>
  <c r="S93" i="2"/>
  <c r="B106" i="3" s="1"/>
  <c r="I92" i="2"/>
  <c r="I52" i="2"/>
  <c r="S53" i="2"/>
  <c r="B66" i="3" s="1"/>
  <c r="N53" i="2"/>
  <c r="N57" i="2"/>
  <c r="I56" i="2"/>
  <c r="S57" i="2"/>
  <c r="B70" i="3" s="1"/>
  <c r="N128" i="2"/>
  <c r="I127" i="2"/>
  <c r="S128" i="2"/>
  <c r="B141" i="3" s="1"/>
  <c r="S122" i="2"/>
  <c r="B135" i="3" s="1"/>
  <c r="I121" i="2"/>
  <c r="N122" i="2"/>
  <c r="I80" i="2"/>
  <c r="S81" i="2"/>
  <c r="B94" i="3" s="1"/>
  <c r="N81" i="2"/>
  <c r="I75" i="2"/>
  <c r="N76" i="2"/>
  <c r="S76" i="2"/>
  <c r="B89" i="3" s="1"/>
  <c r="I126" i="2"/>
  <c r="N127" i="2"/>
  <c r="M127" i="2" s="1"/>
  <c r="S127" i="2"/>
  <c r="B140" i="3" s="1"/>
  <c r="N96" i="2"/>
  <c r="I95" i="2"/>
  <c r="S96" i="2"/>
  <c r="B109" i="3" s="1"/>
  <c r="M129" i="1"/>
  <c r="M128" i="1"/>
  <c r="N120" i="2"/>
  <c r="S120" i="2"/>
  <c r="B133" i="3" s="1"/>
  <c r="I119" i="2"/>
  <c r="I73" i="2"/>
  <c r="S74" i="2"/>
  <c r="B87" i="3" s="1"/>
  <c r="N74" i="2"/>
  <c r="N134" i="2"/>
  <c r="M134" i="2" s="1"/>
  <c r="S134" i="2"/>
  <c r="B147" i="3" s="1"/>
  <c r="I133" i="2"/>
  <c r="S50" i="2"/>
  <c r="B63" i="3" s="1"/>
  <c r="I49" i="2"/>
  <c r="N50" i="2"/>
  <c r="M50" i="2" s="1"/>
  <c r="S92" i="2"/>
  <c r="B105" i="3" s="1"/>
  <c r="N92" i="2"/>
  <c r="I91" i="2"/>
  <c r="M91" i="2"/>
  <c r="I60" i="2"/>
  <c r="N61" i="2"/>
  <c r="S61" i="2"/>
  <c r="B74" i="3" s="1"/>
  <c r="S54" i="2"/>
  <c r="B67" i="3" s="1"/>
  <c r="I53" i="2"/>
  <c r="N54" i="2"/>
  <c r="N65" i="2"/>
  <c r="M64" i="2" s="1"/>
  <c r="I64" i="2"/>
  <c r="S65" i="2"/>
  <c r="B78" i="3" s="1"/>
  <c r="J51" i="2"/>
  <c r="U51" i="2" s="1"/>
  <c r="F63" i="3"/>
  <c r="G64" i="3" s="1"/>
  <c r="N125" i="2"/>
  <c r="I124" i="2"/>
  <c r="S125" i="2"/>
  <c r="B138" i="3" s="1"/>
  <c r="I113" i="2"/>
  <c r="S114" i="2"/>
  <c r="B127" i="3" s="1"/>
  <c r="N114" i="2"/>
  <c r="I61" i="2"/>
  <c r="N62" i="2"/>
  <c r="M62" i="2" s="1"/>
  <c r="S62" i="2"/>
  <c r="B75" i="3" s="1"/>
  <c r="N123" i="2"/>
  <c r="S123" i="2"/>
  <c r="B136" i="3" s="1"/>
  <c r="I122" i="2"/>
  <c r="I57" i="2"/>
  <c r="N58" i="2"/>
  <c r="S58" i="2"/>
  <c r="B71" i="3" s="1"/>
  <c r="S119" i="2"/>
  <c r="B132" i="3" s="1"/>
  <c r="N119" i="2"/>
  <c r="M119" i="2" s="1"/>
  <c r="I118" i="2"/>
  <c r="N132" i="2"/>
  <c r="S132" i="2"/>
  <c r="B145" i="3" s="1"/>
  <c r="I131" i="2"/>
  <c r="N66" i="2"/>
  <c r="S66" i="2"/>
  <c r="B79" i="3" s="1"/>
  <c r="I65" i="2"/>
  <c r="N107" i="2"/>
  <c r="M107" i="2" s="1"/>
  <c r="S107" i="2"/>
  <c r="B120" i="3" s="1"/>
  <c r="I106" i="2"/>
  <c r="M71" i="1"/>
  <c r="N104" i="2"/>
  <c r="I103" i="2"/>
  <c r="S104" i="2"/>
  <c r="B117" i="3" s="1"/>
  <c r="I68" i="2"/>
  <c r="S69" i="2"/>
  <c r="B82" i="3" s="1"/>
  <c r="N69" i="2"/>
  <c r="N118" i="2"/>
  <c r="M118" i="2" s="1"/>
  <c r="I117" i="2"/>
  <c r="S118" i="2"/>
  <c r="B131" i="3" s="1"/>
  <c r="I71" i="2"/>
  <c r="S72" i="2"/>
  <c r="B85" i="3" s="1"/>
  <c r="N72" i="2"/>
  <c r="N105" i="2"/>
  <c r="S105" i="2"/>
  <c r="B118" i="3" s="1"/>
  <c r="I104" i="2"/>
  <c r="S63" i="2"/>
  <c r="B76" i="3" s="1"/>
  <c r="I62" i="2"/>
  <c r="N63" i="2"/>
  <c r="M63" i="2" s="1"/>
  <c r="S133" i="2"/>
  <c r="B146" i="3" s="1"/>
  <c r="I132" i="2"/>
  <c r="N133" i="2"/>
  <c r="M133" i="2" s="1"/>
  <c r="J98" i="2"/>
  <c r="U98" i="2" s="1"/>
  <c r="F110" i="3"/>
  <c r="J87" i="2"/>
  <c r="U87" i="2" s="1"/>
  <c r="F99" i="3"/>
  <c r="G100" i="3" s="1"/>
  <c r="N106" i="2"/>
  <c r="M106" i="2" s="1"/>
  <c r="I105" i="2"/>
  <c r="S106" i="2"/>
  <c r="B119" i="3" s="1"/>
  <c r="S52" i="2"/>
  <c r="B65" i="3" s="1"/>
  <c r="N52" i="2"/>
  <c r="M52" i="2" s="1"/>
  <c r="I51" i="2"/>
  <c r="I48" i="2"/>
  <c r="S49" i="2"/>
  <c r="B62" i="3" s="1"/>
  <c r="N49" i="2"/>
  <c r="M49" i="2" s="1"/>
  <c r="I82" i="2"/>
  <c r="N83" i="2"/>
  <c r="S83" i="2"/>
  <c r="B96" i="3" s="1"/>
  <c r="I111" i="2"/>
  <c r="S112" i="2"/>
  <c r="B125" i="3" s="1"/>
  <c r="N112" i="2"/>
  <c r="I94" i="2"/>
  <c r="S95" i="2"/>
  <c r="B108" i="3" s="1"/>
  <c r="N95" i="2"/>
  <c r="M95" i="2" s="1"/>
  <c r="S115" i="2"/>
  <c r="B128" i="3" s="1"/>
  <c r="N115" i="2"/>
  <c r="I114" i="2"/>
  <c r="N77" i="2"/>
  <c r="S77" i="2"/>
  <c r="B90" i="3" s="1"/>
  <c r="I76" i="2"/>
  <c r="S111" i="2"/>
  <c r="B124" i="3" s="1"/>
  <c r="I110" i="2"/>
  <c r="N111" i="2"/>
  <c r="M111" i="2" s="1"/>
  <c r="L111" i="2" s="1"/>
  <c r="N101" i="2"/>
  <c r="I100" i="2"/>
  <c r="S101" i="2"/>
  <c r="B114" i="3" s="1"/>
  <c r="S113" i="2"/>
  <c r="B126" i="3" s="1"/>
  <c r="I112" i="2"/>
  <c r="N113" i="2"/>
  <c r="M113" i="2" s="1"/>
  <c r="I125" i="2"/>
  <c r="N126" i="2"/>
  <c r="M126" i="2" s="1"/>
  <c r="S126" i="2"/>
  <c r="B139" i="3" s="1"/>
  <c r="S103" i="2"/>
  <c r="B116" i="3" s="1"/>
  <c r="I102" i="2"/>
  <c r="N103" i="2"/>
  <c r="M103" i="2" s="1"/>
  <c r="N80" i="2"/>
  <c r="S80" i="2"/>
  <c r="B93" i="3" s="1"/>
  <c r="I79" i="2"/>
  <c r="S102" i="2"/>
  <c r="B115" i="3" s="1"/>
  <c r="I101" i="2"/>
  <c r="N102" i="2"/>
  <c r="N75" i="2"/>
  <c r="M75" i="2" s="1"/>
  <c r="S75" i="2"/>
  <c r="B88" i="3" s="1"/>
  <c r="I74" i="2"/>
  <c r="S110" i="2"/>
  <c r="B123" i="3" s="1"/>
  <c r="I109" i="2"/>
  <c r="N110" i="2"/>
  <c r="N73" i="2"/>
  <c r="M73" i="2" s="1"/>
  <c r="I72" i="2"/>
  <c r="S73" i="2"/>
  <c r="B86" i="3" s="1"/>
  <c r="S68" i="2"/>
  <c r="B81" i="3" s="1"/>
  <c r="I67" i="2"/>
  <c r="N68" i="2"/>
  <c r="M68" i="2" s="1"/>
  <c r="N97" i="2"/>
  <c r="M97" i="2" s="1"/>
  <c r="I96" i="2"/>
  <c r="S97" i="2"/>
  <c r="B110" i="3" s="1"/>
  <c r="A15" i="2"/>
  <c r="S14" i="2"/>
  <c r="B27" i="3" s="1"/>
  <c r="N14" i="2"/>
  <c r="N99" i="2"/>
  <c r="M98" i="2" s="1"/>
  <c r="S99" i="2"/>
  <c r="B112" i="3" s="1"/>
  <c r="I98" i="2"/>
  <c r="I58" i="2"/>
  <c r="N59" i="2"/>
  <c r="S59" i="2"/>
  <c r="B72" i="3" s="1"/>
  <c r="N85" i="2"/>
  <c r="S85" i="2"/>
  <c r="B98" i="3" s="1"/>
  <c r="I84" i="2"/>
  <c r="I69" i="2"/>
  <c r="S70" i="2"/>
  <c r="B83" i="3" s="1"/>
  <c r="N70" i="2"/>
  <c r="S89" i="2"/>
  <c r="B102" i="3" s="1"/>
  <c r="I88" i="2"/>
  <c r="N89" i="2"/>
  <c r="M88" i="2" s="1"/>
  <c r="I83" i="2"/>
  <c r="N84" i="2"/>
  <c r="S84" i="2"/>
  <c r="B97" i="3" s="1"/>
  <c r="S121" i="2"/>
  <c r="B134" i="3" s="1"/>
  <c r="N121" i="2"/>
  <c r="M121" i="2" s="1"/>
  <c r="I120" i="2"/>
  <c r="I66" i="2"/>
  <c r="S67" i="2"/>
  <c r="B80" i="3" s="1"/>
  <c r="N67" i="2"/>
  <c r="N117" i="2"/>
  <c r="M117" i="2" s="1"/>
  <c r="S117" i="2"/>
  <c r="B130" i="3" s="1"/>
  <c r="I116" i="2"/>
  <c r="S78" i="2"/>
  <c r="B91" i="3" s="1"/>
  <c r="I77" i="2"/>
  <c r="N78" i="2"/>
  <c r="N55" i="2"/>
  <c r="I54" i="2"/>
  <c r="S55" i="2"/>
  <c r="B68" i="3" s="1"/>
  <c r="M105" i="1"/>
  <c r="M104" i="1"/>
  <c r="F102" i="3"/>
  <c r="J90" i="2"/>
  <c r="U90" i="2" s="1"/>
  <c r="M87" i="2"/>
  <c r="M119" i="1"/>
  <c r="M118" i="1"/>
  <c r="M129" i="2"/>
  <c r="M128" i="2"/>
  <c r="M92" i="1"/>
  <c r="M91" i="1"/>
  <c r="L85" i="1"/>
  <c r="K85" i="1"/>
  <c r="J124" i="2"/>
  <c r="U124" i="2" s="1"/>
  <c r="F136" i="3"/>
  <c r="G137" i="3" s="1"/>
  <c r="K111" i="2"/>
  <c r="M116" i="1"/>
  <c r="M115" i="1"/>
  <c r="K77" i="1"/>
  <c r="L77" i="1"/>
  <c r="M122" i="1"/>
  <c r="M121" i="1"/>
  <c r="L112" i="1"/>
  <c r="K112" i="1"/>
  <c r="L87" i="1"/>
  <c r="K87" i="1"/>
  <c r="F83" i="3"/>
  <c r="J71" i="2"/>
  <c r="U71" i="2" s="1"/>
  <c r="M100" i="2"/>
  <c r="M99" i="2"/>
  <c r="K73" i="1"/>
  <c r="L73" i="1"/>
  <c r="K49" i="1"/>
  <c r="L49" i="1"/>
  <c r="M115" i="2"/>
  <c r="M90" i="2"/>
  <c r="M89" i="2"/>
  <c r="M127" i="1"/>
  <c r="M126" i="1"/>
  <c r="M53" i="1"/>
  <c r="M52" i="1"/>
  <c r="F141" i="3"/>
  <c r="G142" i="3" s="1"/>
  <c r="J129" i="2"/>
  <c r="U129" i="2" s="1"/>
  <c r="L86" i="1"/>
  <c r="K86" i="1"/>
  <c r="K127" i="2"/>
  <c r="L127" i="2"/>
  <c r="M76" i="1"/>
  <c r="M75" i="1"/>
  <c r="L56" i="1"/>
  <c r="K56" i="1"/>
  <c r="J108" i="2"/>
  <c r="U108" i="2" s="1"/>
  <c r="F120" i="3"/>
  <c r="G121" i="3" s="1"/>
  <c r="M123" i="1"/>
  <c r="N17" i="1"/>
  <c r="M16" i="1" s="1"/>
  <c r="S17" i="1"/>
  <c r="A18" i="1"/>
  <c r="L71" i="1"/>
  <c r="K71" i="1"/>
  <c r="M101" i="1"/>
  <c r="M100" i="1"/>
  <c r="J88" i="2"/>
  <c r="U88" i="2" s="1"/>
  <c r="F100" i="3"/>
  <c r="G101" i="3" s="1"/>
  <c r="M82" i="1"/>
  <c r="M81" i="1"/>
  <c r="K126" i="2"/>
  <c r="L126" i="2"/>
  <c r="K63" i="2"/>
  <c r="L63" i="2"/>
  <c r="L113" i="2"/>
  <c r="K113" i="2"/>
  <c r="L57" i="1"/>
  <c r="K57" i="1"/>
  <c r="F76" i="3"/>
  <c r="G77" i="3" s="1"/>
  <c r="J64" i="2"/>
  <c r="U64" i="2" s="1"/>
  <c r="L103" i="2"/>
  <c r="K103" i="2"/>
  <c r="K124" i="1"/>
  <c r="L124" i="1"/>
  <c r="M131" i="1"/>
  <c r="M130" i="1"/>
  <c r="K113" i="1"/>
  <c r="L113" i="1"/>
  <c r="J116" i="2"/>
  <c r="U116" i="2" s="1"/>
  <c r="F128" i="3"/>
  <c r="K106" i="1"/>
  <c r="L106" i="1"/>
  <c r="M124" i="2"/>
  <c r="M123" i="2"/>
  <c r="J91" i="2"/>
  <c r="U91" i="2" s="1"/>
  <c r="F103" i="3"/>
  <c r="G104" i="3" s="1"/>
  <c r="K62" i="2"/>
  <c r="L62" i="2"/>
  <c r="M71" i="2"/>
  <c r="M70" i="2"/>
  <c r="J100" i="2"/>
  <c r="U100" i="2" s="1"/>
  <c r="F112" i="3"/>
  <c r="G113" i="3" s="1"/>
  <c r="K72" i="1"/>
  <c r="L72" i="1"/>
  <c r="J130" i="2"/>
  <c r="U130" i="2" s="1"/>
  <c r="F142" i="3"/>
  <c r="G143" i="3" s="1"/>
  <c r="M109" i="1"/>
  <c r="M108" i="1"/>
  <c r="C15" i="2"/>
  <c r="C16" i="1"/>
  <c r="M81" i="2"/>
  <c r="M82" i="2"/>
  <c r="J79" i="2"/>
  <c r="U79" i="2" s="1"/>
  <c r="F91" i="3"/>
  <c r="G92" i="3" s="1"/>
  <c r="K51" i="1"/>
  <c r="L51" i="1"/>
  <c r="M111" i="1"/>
  <c r="M110" i="1"/>
  <c r="F72" i="3"/>
  <c r="G73" i="3" s="1"/>
  <c r="J60" i="2"/>
  <c r="U60" i="2" s="1"/>
  <c r="J94" i="2"/>
  <c r="U94" i="2" s="1"/>
  <c r="F106" i="3"/>
  <c r="G107" i="3" s="1"/>
  <c r="M69" i="1"/>
  <c r="M68" i="1"/>
  <c r="K80" i="1"/>
  <c r="L80" i="1"/>
  <c r="J56" i="2"/>
  <c r="U56" i="2" s="1"/>
  <c r="F68" i="3"/>
  <c r="G69" i="3" s="1"/>
  <c r="F98" i="3"/>
  <c r="G99" i="3" s="1"/>
  <c r="J86" i="2"/>
  <c r="U86" i="2" s="1"/>
  <c r="M60" i="2"/>
  <c r="M59" i="2"/>
  <c r="K79" i="1"/>
  <c r="L79" i="1"/>
  <c r="M56" i="2"/>
  <c r="M55" i="2"/>
  <c r="J131" i="2"/>
  <c r="U131" i="2" s="1"/>
  <c r="F143" i="3"/>
  <c r="G144" i="3" s="1"/>
  <c r="M94" i="2"/>
  <c r="M93" i="2"/>
  <c r="P47" i="2"/>
  <c r="P12" i="2"/>
  <c r="P37" i="2"/>
  <c r="P42" i="2"/>
  <c r="P48" i="2"/>
  <c r="P33" i="2"/>
  <c r="P30" i="2"/>
  <c r="P31" i="2"/>
  <c r="P41" i="2"/>
  <c r="P40" i="2"/>
  <c r="P20" i="2"/>
  <c r="P36" i="2"/>
  <c r="P46" i="2"/>
  <c r="P27" i="2"/>
  <c r="P24" i="2"/>
  <c r="P16" i="2"/>
  <c r="P15" i="2"/>
  <c r="P17" i="2"/>
  <c r="P32" i="2"/>
  <c r="P35" i="2"/>
  <c r="P18" i="2"/>
  <c r="P29" i="2"/>
  <c r="P28" i="2"/>
  <c r="P23" i="2"/>
  <c r="P22" i="2"/>
  <c r="P34" i="2"/>
  <c r="P45" i="2"/>
  <c r="P39" i="2"/>
  <c r="P38" i="2"/>
  <c r="P21" i="2"/>
  <c r="P44" i="2"/>
  <c r="P43" i="2"/>
  <c r="P19" i="2"/>
  <c r="P14" i="2"/>
  <c r="P26" i="2"/>
  <c r="P25" i="2"/>
  <c r="J82" i="2"/>
  <c r="U82" i="2" s="1"/>
  <c r="F94" i="3"/>
  <c r="G95" i="3" s="1"/>
  <c r="F121" i="3"/>
  <c r="G122" i="3" s="1"/>
  <c r="J109" i="2"/>
  <c r="U109" i="2" s="1"/>
  <c r="F13" i="1"/>
  <c r="I13" i="1"/>
  <c r="L50" i="1"/>
  <c r="K50" i="1"/>
  <c r="M78" i="2"/>
  <c r="M79" i="2"/>
  <c r="M86" i="2"/>
  <c r="M85" i="2"/>
  <c r="M130" i="2"/>
  <c r="M131" i="2"/>
  <c r="L15" i="1"/>
  <c r="K15" i="1"/>
  <c r="O12" i="2"/>
  <c r="L68" i="2"/>
  <c r="K68" i="2"/>
  <c r="M109" i="2"/>
  <c r="M108" i="2"/>
  <c r="E13" i="2"/>
  <c r="M69" i="2" l="1"/>
  <c r="M114" i="2"/>
  <c r="L55" i="1"/>
  <c r="K55" i="1"/>
  <c r="M51" i="2"/>
  <c r="L54" i="1"/>
  <c r="K54" i="1"/>
  <c r="L12" i="2"/>
  <c r="K12" i="2"/>
  <c r="M72" i="2"/>
  <c r="L63" i="1"/>
  <c r="K63" i="1"/>
  <c r="M102" i="2"/>
  <c r="L62" i="1"/>
  <c r="K62" i="1"/>
  <c r="J13" i="2"/>
  <c r="U13" i="2" s="1"/>
  <c r="F25" i="3"/>
  <c r="L107" i="2"/>
  <c r="K107" i="2"/>
  <c r="L50" i="2"/>
  <c r="K50" i="2"/>
  <c r="K64" i="2"/>
  <c r="L64" i="2"/>
  <c r="K98" i="2"/>
  <c r="L98" i="2"/>
  <c r="M116" i="2"/>
  <c r="G84" i="3"/>
  <c r="F79" i="3"/>
  <c r="G80" i="3" s="1"/>
  <c r="J67" i="2"/>
  <c r="U67" i="2" s="1"/>
  <c r="J89" i="2"/>
  <c r="U89" i="2" s="1"/>
  <c r="F101" i="3"/>
  <c r="G102" i="3" s="1"/>
  <c r="F82" i="3"/>
  <c r="G83" i="3" s="1"/>
  <c r="J70" i="2"/>
  <c r="U70" i="2" s="1"/>
  <c r="S15" i="2"/>
  <c r="B28" i="3" s="1"/>
  <c r="A16" i="2"/>
  <c r="N15" i="2"/>
  <c r="K97" i="2"/>
  <c r="L97" i="2"/>
  <c r="F122" i="3"/>
  <c r="G123" i="3" s="1"/>
  <c r="J110" i="2"/>
  <c r="U110" i="2" s="1"/>
  <c r="K75" i="2"/>
  <c r="L75" i="2"/>
  <c r="J80" i="2"/>
  <c r="U80" i="2" s="1"/>
  <c r="F92" i="3"/>
  <c r="G93" i="3" s="1"/>
  <c r="F115" i="3"/>
  <c r="G116" i="3" s="1"/>
  <c r="J103" i="2"/>
  <c r="U103" i="2" s="1"/>
  <c r="F138" i="3"/>
  <c r="G139" i="3" s="1"/>
  <c r="J126" i="2"/>
  <c r="U126" i="2" s="1"/>
  <c r="M101" i="2"/>
  <c r="F89" i="3"/>
  <c r="G90" i="3" s="1"/>
  <c r="J77" i="2"/>
  <c r="U77" i="2" s="1"/>
  <c r="F107" i="3"/>
  <c r="G108" i="3" s="1"/>
  <c r="J95" i="2"/>
  <c r="U95" i="2" s="1"/>
  <c r="K133" i="2"/>
  <c r="L133" i="2"/>
  <c r="J63" i="2"/>
  <c r="U63" i="2" s="1"/>
  <c r="F75" i="3"/>
  <c r="G76" i="3" s="1"/>
  <c r="M105" i="2"/>
  <c r="L118" i="2"/>
  <c r="K118" i="2"/>
  <c r="J132" i="2"/>
  <c r="U132" i="2" s="1"/>
  <c r="F144" i="3"/>
  <c r="G145" i="3" s="1"/>
  <c r="K119" i="2"/>
  <c r="L119" i="2"/>
  <c r="J58" i="2"/>
  <c r="U58" i="2" s="1"/>
  <c r="F70" i="3"/>
  <c r="G71" i="3" s="1"/>
  <c r="M125" i="2"/>
  <c r="F77" i="3"/>
  <c r="G78" i="3" s="1"/>
  <c r="J65" i="2"/>
  <c r="U65" i="2" s="1"/>
  <c r="J92" i="2"/>
  <c r="U92" i="2" s="1"/>
  <c r="F104" i="3"/>
  <c r="G105" i="3" s="1"/>
  <c r="J50" i="2"/>
  <c r="U50" i="2" s="1"/>
  <c r="F62" i="3"/>
  <c r="G63" i="3" s="1"/>
  <c r="L134" i="2"/>
  <c r="K134" i="2"/>
  <c r="J120" i="2"/>
  <c r="U120" i="2" s="1"/>
  <c r="F132" i="3"/>
  <c r="G133" i="3" s="1"/>
  <c r="K129" i="1"/>
  <c r="L129" i="1"/>
  <c r="M76" i="2"/>
  <c r="J81" i="2"/>
  <c r="U81" i="2" s="1"/>
  <c r="F93" i="3"/>
  <c r="G94" i="3" s="1"/>
  <c r="F69" i="3"/>
  <c r="G70" i="3" s="1"/>
  <c r="J57" i="2"/>
  <c r="U57" i="2" s="1"/>
  <c r="J53" i="2"/>
  <c r="U53" i="2" s="1"/>
  <c r="F65" i="3"/>
  <c r="G66" i="3" s="1"/>
  <c r="J78" i="2"/>
  <c r="U78" i="2" s="1"/>
  <c r="F90" i="3"/>
  <c r="G91" i="3" s="1"/>
  <c r="L117" i="2"/>
  <c r="K117" i="2"/>
  <c r="F133" i="3"/>
  <c r="G134" i="3" s="1"/>
  <c r="J121" i="2"/>
  <c r="U121" i="2" s="1"/>
  <c r="J85" i="2"/>
  <c r="U85" i="2" s="1"/>
  <c r="F97" i="3"/>
  <c r="G98" i="3" s="1"/>
  <c r="F85" i="3"/>
  <c r="G86" i="3" s="1"/>
  <c r="J73" i="2"/>
  <c r="U73" i="2" s="1"/>
  <c r="M112" i="2"/>
  <c r="M83" i="2"/>
  <c r="J49" i="2"/>
  <c r="U49" i="2" s="1"/>
  <c r="F61" i="3"/>
  <c r="J133" i="2"/>
  <c r="U133" i="2" s="1"/>
  <c r="F145" i="3"/>
  <c r="G146" i="3" s="1"/>
  <c r="K51" i="2"/>
  <c r="L51" i="2"/>
  <c r="F84" i="3"/>
  <c r="G85" i="3" s="1"/>
  <c r="J72" i="2"/>
  <c r="U72" i="2" s="1"/>
  <c r="F116" i="3"/>
  <c r="G117" i="3" s="1"/>
  <c r="J104" i="2"/>
  <c r="U104" i="2" s="1"/>
  <c r="J66" i="2"/>
  <c r="U66" i="2" s="1"/>
  <c r="F78" i="3"/>
  <c r="G79" i="3" s="1"/>
  <c r="F135" i="3"/>
  <c r="G136" i="3" s="1"/>
  <c r="J123" i="2"/>
  <c r="U123" i="2" s="1"/>
  <c r="F126" i="3"/>
  <c r="G127" i="3" s="1"/>
  <c r="J114" i="2"/>
  <c r="U114" i="2" s="1"/>
  <c r="M65" i="2"/>
  <c r="K91" i="2"/>
  <c r="L91" i="2"/>
  <c r="M74" i="2"/>
  <c r="J76" i="2"/>
  <c r="U76" i="2" s="1"/>
  <c r="F88" i="3"/>
  <c r="G89" i="3" s="1"/>
  <c r="M122" i="2"/>
  <c r="F140" i="3"/>
  <c r="G141" i="3" s="1"/>
  <c r="J128" i="2"/>
  <c r="U128" i="2" s="1"/>
  <c r="M57" i="2"/>
  <c r="F105" i="3"/>
  <c r="G106" i="3" s="1"/>
  <c r="J93" i="2"/>
  <c r="U93" i="2" s="1"/>
  <c r="G129" i="3"/>
  <c r="G103" i="3"/>
  <c r="F67" i="3"/>
  <c r="G68" i="3" s="1"/>
  <c r="J55" i="2"/>
  <c r="U55" i="2" s="1"/>
  <c r="M67" i="2"/>
  <c r="L121" i="2"/>
  <c r="K121" i="2"/>
  <c r="J84" i="2"/>
  <c r="U84" i="2" s="1"/>
  <c r="F96" i="3"/>
  <c r="G97" i="3" s="1"/>
  <c r="F71" i="3"/>
  <c r="G72" i="3" s="1"/>
  <c r="J59" i="2"/>
  <c r="U59" i="2" s="1"/>
  <c r="M14" i="2"/>
  <c r="M13" i="2"/>
  <c r="J68" i="2"/>
  <c r="U68" i="2" s="1"/>
  <c r="F80" i="3"/>
  <c r="G81" i="3" s="1"/>
  <c r="K73" i="2"/>
  <c r="L73" i="2"/>
  <c r="J75" i="2"/>
  <c r="U75" i="2" s="1"/>
  <c r="F87" i="3"/>
  <c r="G88" i="3" s="1"/>
  <c r="F114" i="3"/>
  <c r="G115" i="3" s="1"/>
  <c r="J102" i="2"/>
  <c r="U102" i="2" s="1"/>
  <c r="F125" i="3"/>
  <c r="G126" i="3" s="1"/>
  <c r="J113" i="2"/>
  <c r="U113" i="2" s="1"/>
  <c r="F123" i="3"/>
  <c r="G124" i="3" s="1"/>
  <c r="J111" i="2"/>
  <c r="U111" i="2" s="1"/>
  <c r="M77" i="2"/>
  <c r="K95" i="2"/>
  <c r="L95" i="2"/>
  <c r="F95" i="3"/>
  <c r="G96" i="3" s="1"/>
  <c r="J83" i="2"/>
  <c r="U83" i="2" s="1"/>
  <c r="J52" i="2"/>
  <c r="U52" i="2" s="1"/>
  <c r="F64" i="3"/>
  <c r="G65" i="3" s="1"/>
  <c r="J106" i="2"/>
  <c r="U106" i="2" s="1"/>
  <c r="F118" i="3"/>
  <c r="G119" i="3" s="1"/>
  <c r="G111" i="3"/>
  <c r="F117" i="3"/>
  <c r="G118" i="3" s="1"/>
  <c r="J105" i="2"/>
  <c r="U105" i="2" s="1"/>
  <c r="M104" i="2"/>
  <c r="J107" i="2"/>
  <c r="U107" i="2" s="1"/>
  <c r="F119" i="3"/>
  <c r="G120" i="3" s="1"/>
  <c r="M132" i="2"/>
  <c r="J62" i="2"/>
  <c r="U62" i="2" s="1"/>
  <c r="F74" i="3"/>
  <c r="G75" i="3" s="1"/>
  <c r="M54" i="2"/>
  <c r="M61" i="2"/>
  <c r="F146" i="3"/>
  <c r="G147" i="3" s="1"/>
  <c r="J134" i="2"/>
  <c r="U134" i="2" s="1"/>
  <c r="M120" i="2"/>
  <c r="F108" i="3"/>
  <c r="G109" i="3" s="1"/>
  <c r="J96" i="2"/>
  <c r="U96" i="2" s="1"/>
  <c r="J127" i="2"/>
  <c r="U127" i="2" s="1"/>
  <c r="F139" i="3"/>
  <c r="G140" i="3" s="1"/>
  <c r="M80" i="2"/>
  <c r="F134" i="3"/>
  <c r="G135" i="3" s="1"/>
  <c r="J122" i="2"/>
  <c r="U122" i="2" s="1"/>
  <c r="M53" i="2"/>
  <c r="F129" i="3"/>
  <c r="G130" i="3" s="1"/>
  <c r="J117" i="2"/>
  <c r="U117" i="2" s="1"/>
  <c r="M84" i="2"/>
  <c r="F111" i="3"/>
  <c r="G112" i="3" s="1"/>
  <c r="J99" i="2"/>
  <c r="U99" i="2" s="1"/>
  <c r="J97" i="2"/>
  <c r="U97" i="2" s="1"/>
  <c r="F109" i="3"/>
  <c r="G110" i="3" s="1"/>
  <c r="M110" i="2"/>
  <c r="J101" i="2"/>
  <c r="U101" i="2" s="1"/>
  <c r="F113" i="3"/>
  <c r="G114" i="3" s="1"/>
  <c r="J115" i="2"/>
  <c r="U115" i="2" s="1"/>
  <c r="F127" i="3"/>
  <c r="G128" i="3" s="1"/>
  <c r="F124" i="3"/>
  <c r="G125" i="3" s="1"/>
  <c r="J112" i="2"/>
  <c r="U112" i="2" s="1"/>
  <c r="L49" i="2"/>
  <c r="K49" i="2"/>
  <c r="K52" i="2"/>
  <c r="L52" i="2"/>
  <c r="K106" i="2"/>
  <c r="L106" i="2"/>
  <c r="L72" i="2"/>
  <c r="K72" i="2"/>
  <c r="F130" i="3"/>
  <c r="G131" i="3" s="1"/>
  <c r="J118" i="2"/>
  <c r="U118" i="2" s="1"/>
  <c r="F81" i="3"/>
  <c r="G82" i="3" s="1"/>
  <c r="J69" i="2"/>
  <c r="U69" i="2" s="1"/>
  <c r="M66" i="2"/>
  <c r="J119" i="2"/>
  <c r="U119" i="2" s="1"/>
  <c r="F131" i="3"/>
  <c r="G132" i="3" s="1"/>
  <c r="M58" i="2"/>
  <c r="K114" i="2"/>
  <c r="L114" i="2"/>
  <c r="J125" i="2"/>
  <c r="U125" i="2" s="1"/>
  <c r="F137" i="3"/>
  <c r="G138" i="3" s="1"/>
  <c r="F66" i="3"/>
  <c r="G67" i="3" s="1"/>
  <c r="J54" i="2"/>
  <c r="U54" i="2" s="1"/>
  <c r="F73" i="3"/>
  <c r="G74" i="3" s="1"/>
  <c r="J61" i="2"/>
  <c r="U61" i="2" s="1"/>
  <c r="F86" i="3"/>
  <c r="G87" i="3" s="1"/>
  <c r="J74" i="2"/>
  <c r="U74" i="2" s="1"/>
  <c r="K128" i="1"/>
  <c r="L128" i="1"/>
  <c r="M96" i="2"/>
  <c r="M92" i="2"/>
  <c r="L109" i="1"/>
  <c r="K109" i="1"/>
  <c r="K124" i="2"/>
  <c r="L124" i="2"/>
  <c r="L130" i="1"/>
  <c r="K130" i="1"/>
  <c r="K81" i="1"/>
  <c r="L81" i="1"/>
  <c r="K100" i="1"/>
  <c r="L100" i="1"/>
  <c r="K16" i="1"/>
  <c r="L16" i="1"/>
  <c r="K75" i="1"/>
  <c r="L75" i="1"/>
  <c r="K52" i="1"/>
  <c r="L52" i="1"/>
  <c r="K89" i="2"/>
  <c r="L89" i="2"/>
  <c r="L99" i="2"/>
  <c r="K99" i="2"/>
  <c r="L121" i="1"/>
  <c r="K121" i="1"/>
  <c r="L115" i="1"/>
  <c r="K115" i="1"/>
  <c r="K91" i="1"/>
  <c r="L91" i="1"/>
  <c r="K118" i="1"/>
  <c r="L118" i="1"/>
  <c r="C17" i="1"/>
  <c r="C16" i="2"/>
  <c r="L70" i="2"/>
  <c r="K70" i="2"/>
  <c r="K131" i="1"/>
  <c r="L131" i="1"/>
  <c r="K82" i="1"/>
  <c r="L82" i="1"/>
  <c r="K101" i="1"/>
  <c r="L101" i="1"/>
  <c r="L123" i="1"/>
  <c r="K123" i="1"/>
  <c r="K76" i="1"/>
  <c r="L76" i="1"/>
  <c r="L53" i="1"/>
  <c r="K53" i="1"/>
  <c r="L90" i="2"/>
  <c r="K90" i="2"/>
  <c r="L100" i="2"/>
  <c r="K100" i="2"/>
  <c r="L122" i="1"/>
  <c r="K122" i="1"/>
  <c r="L116" i="1"/>
  <c r="K116" i="1"/>
  <c r="L92" i="1"/>
  <c r="K92" i="1"/>
  <c r="K119" i="1"/>
  <c r="L119" i="1"/>
  <c r="K71" i="2"/>
  <c r="L71" i="2"/>
  <c r="S18" i="1"/>
  <c r="N18" i="1"/>
  <c r="M17" i="1" s="1"/>
  <c r="K17" i="1" s="1"/>
  <c r="A19" i="1"/>
  <c r="L126" i="1"/>
  <c r="K126" i="1"/>
  <c r="K115" i="2"/>
  <c r="L115" i="2"/>
  <c r="L128" i="2"/>
  <c r="K128" i="2"/>
  <c r="K87" i="2"/>
  <c r="L87" i="2"/>
  <c r="L104" i="1"/>
  <c r="K104" i="1"/>
  <c r="L108" i="1"/>
  <c r="K108" i="1"/>
  <c r="L123" i="2"/>
  <c r="K123" i="2"/>
  <c r="L127" i="1"/>
  <c r="K127" i="1"/>
  <c r="K116" i="2"/>
  <c r="L116" i="2"/>
  <c r="K129" i="2"/>
  <c r="L129" i="2"/>
  <c r="K88" i="2"/>
  <c r="L88" i="2"/>
  <c r="L105" i="1"/>
  <c r="K105" i="1"/>
  <c r="K109" i="2"/>
  <c r="L109" i="2"/>
  <c r="L60" i="2"/>
  <c r="K60" i="2"/>
  <c r="L17" i="1"/>
  <c r="K68" i="1"/>
  <c r="L68" i="1"/>
  <c r="L86" i="2"/>
  <c r="K86" i="2"/>
  <c r="J14" i="1"/>
  <c r="L55" i="2"/>
  <c r="K55" i="2"/>
  <c r="K69" i="1"/>
  <c r="L69" i="1"/>
  <c r="L82" i="2"/>
  <c r="K82" i="2"/>
  <c r="K94" i="2"/>
  <c r="L94" i="2"/>
  <c r="L131" i="2"/>
  <c r="K131" i="2"/>
  <c r="K81" i="2"/>
  <c r="L81" i="2"/>
  <c r="L85" i="2"/>
  <c r="K85" i="2"/>
  <c r="F13" i="2"/>
  <c r="I13" i="2"/>
  <c r="K79" i="2"/>
  <c r="L79" i="2"/>
  <c r="D14" i="1"/>
  <c r="O14" i="1"/>
  <c r="O11" i="1" s="1"/>
  <c r="L56" i="2"/>
  <c r="K56" i="2"/>
  <c r="K110" i="1"/>
  <c r="L110" i="1"/>
  <c r="K108" i="2"/>
  <c r="L108" i="2"/>
  <c r="L130" i="2"/>
  <c r="K130" i="2"/>
  <c r="L78" i="2"/>
  <c r="K78" i="2"/>
  <c r="L93" i="2"/>
  <c r="K93" i="2"/>
  <c r="L59" i="2"/>
  <c r="K59" i="2"/>
  <c r="L111" i="1"/>
  <c r="K111" i="1"/>
  <c r="L13" i="1" l="1"/>
  <c r="L14" i="1"/>
  <c r="K13" i="1"/>
  <c r="K14" i="1"/>
  <c r="G26" i="3"/>
  <c r="G25" i="3"/>
  <c r="L102" i="2"/>
  <c r="K102" i="2"/>
  <c r="K69" i="2"/>
  <c r="L69" i="2"/>
  <c r="K96" i="2"/>
  <c r="L96" i="2"/>
  <c r="K66" i="2"/>
  <c r="L66" i="2"/>
  <c r="L84" i="2"/>
  <c r="K84" i="2"/>
  <c r="K122" i="2"/>
  <c r="L122" i="2"/>
  <c r="K112" i="2"/>
  <c r="L112" i="2"/>
  <c r="K101" i="2"/>
  <c r="L101" i="2"/>
  <c r="K58" i="2"/>
  <c r="L58" i="2"/>
  <c r="K104" i="2"/>
  <c r="L104" i="2"/>
  <c r="L77" i="2"/>
  <c r="K77" i="2"/>
  <c r="K57" i="2"/>
  <c r="L57" i="2"/>
  <c r="L76" i="2"/>
  <c r="K76" i="2"/>
  <c r="L80" i="2"/>
  <c r="K80" i="2"/>
  <c r="K61" i="2"/>
  <c r="L61" i="2"/>
  <c r="K132" i="2"/>
  <c r="L132" i="2"/>
  <c r="L13" i="2"/>
  <c r="K67" i="2"/>
  <c r="L67" i="2"/>
  <c r="K65" i="2"/>
  <c r="L65" i="2"/>
  <c r="K125" i="2"/>
  <c r="L125" i="2"/>
  <c r="S16" i="2"/>
  <c r="B29" i="3" s="1"/>
  <c r="A17" i="2"/>
  <c r="N16" i="2"/>
  <c r="K92" i="2"/>
  <c r="L92" i="2"/>
  <c r="L110" i="2"/>
  <c r="K110" i="2"/>
  <c r="K53" i="2"/>
  <c r="L53" i="2"/>
  <c r="L120" i="2"/>
  <c r="K120" i="2"/>
  <c r="L54" i="2"/>
  <c r="K54" i="2"/>
  <c r="L14" i="2"/>
  <c r="L74" i="2"/>
  <c r="K74" i="2"/>
  <c r="K83" i="2"/>
  <c r="L83" i="2"/>
  <c r="L105" i="2"/>
  <c r="K105" i="2"/>
  <c r="N19" i="1"/>
  <c r="M18" i="1" s="1"/>
  <c r="L18" i="1" s="1"/>
  <c r="A20" i="1"/>
  <c r="S19" i="1"/>
  <c r="C17" i="2"/>
  <c r="C18" i="1"/>
  <c r="E14" i="1"/>
  <c r="D14" i="2"/>
  <c r="O14" i="2"/>
  <c r="O11" i="2" s="1"/>
  <c r="F26" i="3"/>
  <c r="G27" i="3" s="1"/>
  <c r="J14" i="2"/>
  <c r="K14" i="2" s="1"/>
  <c r="K13" i="2" l="1"/>
  <c r="K18" i="1"/>
  <c r="A18" i="2"/>
  <c r="N17" i="2"/>
  <c r="M16" i="2" s="1"/>
  <c r="S17" i="2"/>
  <c r="B30" i="3" s="1"/>
  <c r="M15" i="2"/>
  <c r="C19" i="1"/>
  <c r="C18" i="2"/>
  <c r="A21" i="1"/>
  <c r="S20" i="1"/>
  <c r="N20" i="1"/>
  <c r="F14" i="1"/>
  <c r="I14" i="1"/>
  <c r="U14" i="2"/>
  <c r="E14" i="2"/>
  <c r="A19" i="2" l="1"/>
  <c r="N18" i="2"/>
  <c r="M17" i="2" s="1"/>
  <c r="S18" i="2"/>
  <c r="B31" i="3" s="1"/>
  <c r="K15" i="2"/>
  <c r="L15" i="2"/>
  <c r="K16" i="2"/>
  <c r="L16" i="2"/>
  <c r="N21" i="1"/>
  <c r="A22" i="1"/>
  <c r="S21" i="1"/>
  <c r="M19" i="1"/>
  <c r="C20" i="1"/>
  <c r="C19" i="2"/>
  <c r="J15" i="1"/>
  <c r="I14" i="2"/>
  <c r="F14" i="2"/>
  <c r="D15" i="1"/>
  <c r="O15" i="1"/>
  <c r="L17" i="2" l="1"/>
  <c r="K17" i="2"/>
  <c r="A20" i="2"/>
  <c r="S19" i="2"/>
  <c r="B32" i="3" s="1"/>
  <c r="N19" i="2"/>
  <c r="M18" i="2" s="1"/>
  <c r="M20" i="1"/>
  <c r="C20" i="2"/>
  <c r="C21" i="1"/>
  <c r="A23" i="1"/>
  <c r="N22" i="1"/>
  <c r="S22" i="1"/>
  <c r="O15" i="2"/>
  <c r="J15" i="2"/>
  <c r="F27" i="3"/>
  <c r="G28" i="3" s="1"/>
  <c r="E15" i="1"/>
  <c r="D15" i="2"/>
  <c r="A21" i="2" l="1"/>
  <c r="S20" i="2"/>
  <c r="B33" i="3" s="1"/>
  <c r="N20" i="2"/>
  <c r="M19" i="2" s="1"/>
  <c r="K18" i="2"/>
  <c r="L18" i="2"/>
  <c r="C21" i="2"/>
  <c r="C22" i="1"/>
  <c r="L20" i="1"/>
  <c r="K20" i="1"/>
  <c r="S23" i="1"/>
  <c r="N23" i="1"/>
  <c r="A24" i="1"/>
  <c r="M21" i="1"/>
  <c r="E15" i="2"/>
  <c r="U15" i="2"/>
  <c r="I15" i="1"/>
  <c r="F15" i="1"/>
  <c r="N21" i="2" l="1"/>
  <c r="A22" i="2"/>
  <c r="S21" i="2"/>
  <c r="B34" i="3" s="1"/>
  <c r="A25" i="1"/>
  <c r="S24" i="1"/>
  <c r="N24" i="1"/>
  <c r="M23" i="1" s="1"/>
  <c r="M22" i="1"/>
  <c r="C22" i="2"/>
  <c r="C23" i="1"/>
  <c r="L21" i="1"/>
  <c r="K21" i="1"/>
  <c r="F15" i="2"/>
  <c r="I15" i="2"/>
  <c r="A25" i="2"/>
  <c r="D16" i="1"/>
  <c r="O16" i="1"/>
  <c r="J16" i="1"/>
  <c r="A23" i="2" l="1"/>
  <c r="N22" i="2"/>
  <c r="S22" i="2"/>
  <c r="B35" i="3" s="1"/>
  <c r="M20" i="2"/>
  <c r="M21" i="2"/>
  <c r="K23" i="1"/>
  <c r="L23" i="1"/>
  <c r="S25" i="1"/>
  <c r="N25" i="1"/>
  <c r="A26" i="1"/>
  <c r="C23" i="2"/>
  <c r="C24" i="1"/>
  <c r="L22" i="1"/>
  <c r="K22" i="1"/>
  <c r="N25" i="2"/>
  <c r="S25" i="2"/>
  <c r="B38" i="3" s="1"/>
  <c r="A26" i="2"/>
  <c r="O16" i="2"/>
  <c r="E16" i="1"/>
  <c r="D16" i="2"/>
  <c r="J16" i="2"/>
  <c r="F28" i="3"/>
  <c r="G29" i="3" s="1"/>
  <c r="K21" i="2" l="1"/>
  <c r="L21" i="2"/>
  <c r="K20" i="2"/>
  <c r="L20" i="2"/>
  <c r="A24" i="2"/>
  <c r="N23" i="2"/>
  <c r="S23" i="2"/>
  <c r="B36" i="3" s="1"/>
  <c r="M24" i="1"/>
  <c r="S26" i="1"/>
  <c r="A27" i="1"/>
  <c r="N26" i="1"/>
  <c r="M25" i="1" s="1"/>
  <c r="C25" i="1"/>
  <c r="C24" i="2"/>
  <c r="E16" i="2"/>
  <c r="U16" i="2"/>
  <c r="I16" i="1"/>
  <c r="F16" i="1"/>
  <c r="N26" i="2"/>
  <c r="S26" i="2"/>
  <c r="B39" i="3" s="1"/>
  <c r="A27" i="2"/>
  <c r="N24" i="2" l="1"/>
  <c r="M24" i="2" s="1"/>
  <c r="S24" i="2"/>
  <c r="B37" i="3" s="1"/>
  <c r="M22" i="2"/>
  <c r="K25" i="1"/>
  <c r="L25" i="1"/>
  <c r="A28" i="1"/>
  <c r="S27" i="1"/>
  <c r="N27" i="1"/>
  <c r="M26" i="1" s="1"/>
  <c r="C25" i="2"/>
  <c r="C26" i="1"/>
  <c r="A28" i="2"/>
  <c r="N27" i="2"/>
  <c r="M26" i="2" s="1"/>
  <c r="S27" i="2"/>
  <c r="B40" i="3" s="1"/>
  <c r="D17" i="1"/>
  <c r="O17" i="1"/>
  <c r="I16" i="2"/>
  <c r="F16" i="2"/>
  <c r="M25" i="2"/>
  <c r="J17" i="1"/>
  <c r="M23" i="2" l="1"/>
  <c r="K23" i="2" s="1"/>
  <c r="K22" i="2"/>
  <c r="L22" i="2"/>
  <c r="L23" i="2"/>
  <c r="K26" i="1"/>
  <c r="L26" i="1"/>
  <c r="S28" i="1"/>
  <c r="A29" i="1"/>
  <c r="N28" i="1"/>
  <c r="M27" i="1" s="1"/>
  <c r="L27" i="1" s="1"/>
  <c r="C27" i="1"/>
  <c r="C26" i="2"/>
  <c r="K26" i="2"/>
  <c r="L26" i="2"/>
  <c r="N28" i="2"/>
  <c r="A29" i="2"/>
  <c r="S28" i="2"/>
  <c r="B41" i="3" s="1"/>
  <c r="K25" i="2"/>
  <c r="L25" i="2"/>
  <c r="J17" i="2"/>
  <c r="F29" i="3"/>
  <c r="G30" i="3" s="1"/>
  <c r="E17" i="1"/>
  <c r="D17" i="2"/>
  <c r="O17" i="2"/>
  <c r="M27" i="2"/>
  <c r="K27" i="1" l="1"/>
  <c r="N29" i="1"/>
  <c r="M28" i="1" s="1"/>
  <c r="A30" i="1"/>
  <c r="S29" i="1"/>
  <c r="C27" i="2"/>
  <c r="C28" i="1"/>
  <c r="F17" i="1"/>
  <c r="I17" i="1"/>
  <c r="E17" i="2"/>
  <c r="U17" i="2"/>
  <c r="N29" i="2"/>
  <c r="M28" i="2" s="1"/>
  <c r="A30" i="2"/>
  <c r="S29" i="2"/>
  <c r="B42" i="3" s="1"/>
  <c r="L27" i="2"/>
  <c r="K27" i="2"/>
  <c r="K28" i="1" l="1"/>
  <c r="L28" i="1"/>
  <c r="N30" i="1"/>
  <c r="A31" i="1"/>
  <c r="S30" i="1"/>
  <c r="C28" i="2"/>
  <c r="C29" i="1"/>
  <c r="L28" i="2"/>
  <c r="K28" i="2"/>
  <c r="N30" i="2"/>
  <c r="A31" i="2"/>
  <c r="S30" i="2"/>
  <c r="B43" i="3" s="1"/>
  <c r="J18" i="1"/>
  <c r="D18" i="1"/>
  <c r="O18" i="1"/>
  <c r="I17" i="2"/>
  <c r="F17" i="2"/>
  <c r="M29" i="2"/>
  <c r="A32" i="1" l="1"/>
  <c r="N31" i="1"/>
  <c r="S31" i="1"/>
  <c r="C30" i="1"/>
  <c r="C29" i="2"/>
  <c r="M30" i="1"/>
  <c r="M29" i="1"/>
  <c r="J18" i="2"/>
  <c r="F30" i="3"/>
  <c r="G31" i="3" s="1"/>
  <c r="L29" i="2"/>
  <c r="K29" i="2"/>
  <c r="D18" i="2"/>
  <c r="E18" i="1"/>
  <c r="O18" i="2"/>
  <c r="A32" i="2"/>
  <c r="N31" i="2"/>
  <c r="M30" i="2" s="1"/>
  <c r="S31" i="2"/>
  <c r="B44" i="3" s="1"/>
  <c r="E18" i="2" l="1"/>
  <c r="I18" i="2" s="1"/>
  <c r="J19" i="2" s="1"/>
  <c r="C30" i="2"/>
  <c r="C31" i="1"/>
  <c r="L29" i="1"/>
  <c r="K29" i="1"/>
  <c r="L30" i="1"/>
  <c r="K30" i="1"/>
  <c r="N32" i="1"/>
  <c r="M31" i="1" s="1"/>
  <c r="A33" i="1"/>
  <c r="S32" i="1"/>
  <c r="L30" i="2"/>
  <c r="K30" i="2"/>
  <c r="F31" i="3"/>
  <c r="G32" i="3" s="1"/>
  <c r="I18" i="1"/>
  <c r="F18" i="1"/>
  <c r="S32" i="2"/>
  <c r="B45" i="3" s="1"/>
  <c r="N32" i="2"/>
  <c r="A33" i="2"/>
  <c r="U18" i="2"/>
  <c r="U19" i="2" l="1"/>
  <c r="F18" i="2"/>
  <c r="O19" i="2" s="1"/>
  <c r="C31" i="2"/>
  <c r="C32" i="1"/>
  <c r="N33" i="1"/>
  <c r="M32" i="1" s="1"/>
  <c r="L32" i="1" s="1"/>
  <c r="A34" i="1"/>
  <c r="S33" i="1"/>
  <c r="D19" i="1"/>
  <c r="O19" i="1"/>
  <c r="J19" i="1"/>
  <c r="N33" i="2"/>
  <c r="M32" i="2" s="1"/>
  <c r="S33" i="2"/>
  <c r="B46" i="3" s="1"/>
  <c r="A34" i="2"/>
  <c r="M31" i="2"/>
  <c r="K32" i="1" l="1"/>
  <c r="A35" i="1"/>
  <c r="S34" i="1"/>
  <c r="N34" i="1"/>
  <c r="C32" i="2"/>
  <c r="C33" i="1"/>
  <c r="K32" i="2"/>
  <c r="L32" i="2"/>
  <c r="N34" i="2"/>
  <c r="M33" i="2" s="1"/>
  <c r="A35" i="2"/>
  <c r="S34" i="2"/>
  <c r="B47" i="3" s="1"/>
  <c r="D19" i="2"/>
  <c r="E19" i="1"/>
  <c r="E19" i="2" l="1"/>
  <c r="I19" i="2" s="1"/>
  <c r="C33" i="2"/>
  <c r="C34" i="1"/>
  <c r="M33" i="1"/>
  <c r="A36" i="1"/>
  <c r="N35" i="1"/>
  <c r="M34" i="1" s="1"/>
  <c r="S35" i="1"/>
  <c r="K33" i="2"/>
  <c r="L33" i="2"/>
  <c r="I19" i="1"/>
  <c r="F19" i="1"/>
  <c r="A36" i="2"/>
  <c r="N35" i="2"/>
  <c r="S35" i="2"/>
  <c r="B48" i="3" s="1"/>
  <c r="F19" i="2"/>
  <c r="M34" i="2"/>
  <c r="K34" i="1" l="1"/>
  <c r="L34" i="1"/>
  <c r="K33" i="1"/>
  <c r="L33" i="1"/>
  <c r="C34" i="2"/>
  <c r="C35" i="1"/>
  <c r="N36" i="1"/>
  <c r="M35" i="1" s="1"/>
  <c r="S36" i="1"/>
  <c r="A37" i="1"/>
  <c r="O20" i="2"/>
  <c r="J20" i="2"/>
  <c r="F32" i="3"/>
  <c r="G33" i="3" s="1"/>
  <c r="D20" i="1"/>
  <c r="O20" i="1"/>
  <c r="J20" i="1"/>
  <c r="K19" i="1" s="1"/>
  <c r="K34" i="2"/>
  <c r="L34" i="2"/>
  <c r="L35" i="1"/>
  <c r="K35" i="1"/>
  <c r="A37" i="2"/>
  <c r="S36" i="2"/>
  <c r="B49" i="3" s="1"/>
  <c r="N36" i="2"/>
  <c r="C35" i="2" l="1"/>
  <c r="C36" i="1"/>
  <c r="S37" i="1"/>
  <c r="N37" i="1"/>
  <c r="A38" i="1"/>
  <c r="S37" i="2"/>
  <c r="B50" i="3" s="1"/>
  <c r="A38" i="2"/>
  <c r="N37" i="2"/>
  <c r="M36" i="2" s="1"/>
  <c r="M35" i="2"/>
  <c r="D20" i="2"/>
  <c r="E20" i="1"/>
  <c r="L19" i="1"/>
  <c r="U20" i="2"/>
  <c r="K19" i="2"/>
  <c r="M36" i="1" l="1"/>
  <c r="C36" i="2"/>
  <c r="C37" i="1"/>
  <c r="S38" i="1"/>
  <c r="N38" i="1"/>
  <c r="A39" i="1"/>
  <c r="E20" i="2"/>
  <c r="L19" i="2"/>
  <c r="F20" i="1"/>
  <c r="I20" i="1"/>
  <c r="K36" i="2"/>
  <c r="L36" i="2"/>
  <c r="N38" i="2"/>
  <c r="A39" i="2"/>
  <c r="S38" i="2"/>
  <c r="B51" i="3" s="1"/>
  <c r="K35" i="2"/>
  <c r="L35" i="2"/>
  <c r="C38" i="1" l="1"/>
  <c r="C37" i="2"/>
  <c r="N39" i="1"/>
  <c r="M38" i="1" s="1"/>
  <c r="A40" i="1"/>
  <c r="S39" i="1"/>
  <c r="M37" i="1"/>
  <c r="K36" i="1"/>
  <c r="L36" i="1"/>
  <c r="J21" i="1"/>
  <c r="S39" i="2"/>
  <c r="B52" i="3" s="1"/>
  <c r="A40" i="2"/>
  <c r="N39" i="2"/>
  <c r="M37" i="2"/>
  <c r="D21" i="1"/>
  <c r="O21" i="1"/>
  <c r="F20" i="2"/>
  <c r="I20" i="2"/>
  <c r="L38" i="1" l="1"/>
  <c r="K38" i="1"/>
  <c r="A41" i="1"/>
  <c r="S40" i="1"/>
  <c r="N40" i="1"/>
  <c r="M39" i="1" s="1"/>
  <c r="L39" i="1" s="1"/>
  <c r="L37" i="1"/>
  <c r="K37" i="1"/>
  <c r="C38" i="2"/>
  <c r="C39" i="1"/>
  <c r="L37" i="2"/>
  <c r="K37" i="2"/>
  <c r="D21" i="2"/>
  <c r="E21" i="2" s="1"/>
  <c r="I21" i="2" s="1"/>
  <c r="E21" i="1"/>
  <c r="K39" i="1"/>
  <c r="N40" i="2"/>
  <c r="S40" i="2"/>
  <c r="B53" i="3" s="1"/>
  <c r="A41" i="2"/>
  <c r="M38" i="2"/>
  <c r="F33" i="3"/>
  <c r="G34" i="3" s="1"/>
  <c r="J21" i="2"/>
  <c r="U21" i="2" s="1"/>
  <c r="O21" i="2"/>
  <c r="F21" i="2" l="1"/>
  <c r="O22" i="2" s="1"/>
  <c r="C40" i="1"/>
  <c r="C39" i="2"/>
  <c r="S41" i="1"/>
  <c r="N41" i="1"/>
  <c r="A42" i="1"/>
  <c r="N41" i="2"/>
  <c r="M40" i="2" s="1"/>
  <c r="A42" i="2"/>
  <c r="S41" i="2"/>
  <c r="B54" i="3" s="1"/>
  <c r="K38" i="2"/>
  <c r="L38" i="2"/>
  <c r="J22" i="2"/>
  <c r="U22" i="2" s="1"/>
  <c r="F34" i="3"/>
  <c r="G35" i="3" s="1"/>
  <c r="M39" i="2"/>
  <c r="I21" i="1"/>
  <c r="F21" i="1"/>
  <c r="S42" i="1" l="1"/>
  <c r="A43" i="1"/>
  <c r="N42" i="1"/>
  <c r="C40" i="2"/>
  <c r="C41" i="1"/>
  <c r="M40" i="1"/>
  <c r="J22" i="1"/>
  <c r="L39" i="2"/>
  <c r="K39" i="2"/>
  <c r="D22" i="1"/>
  <c r="O22" i="1"/>
  <c r="N42" i="2"/>
  <c r="S42" i="2"/>
  <c r="B55" i="3" s="1"/>
  <c r="A43" i="2"/>
  <c r="L40" i="2"/>
  <c r="K40" i="2"/>
  <c r="C41" i="2" l="1"/>
  <c r="C42" i="1"/>
  <c r="L40" i="1"/>
  <c r="K40" i="1"/>
  <c r="M41" i="1"/>
  <c r="N43" i="1"/>
  <c r="M42" i="1" s="1"/>
  <c r="S43" i="1"/>
  <c r="A44" i="1"/>
  <c r="M41" i="2"/>
  <c r="S43" i="2"/>
  <c r="B56" i="3" s="1"/>
  <c r="A44" i="2"/>
  <c r="N43" i="2"/>
  <c r="D22" i="2"/>
  <c r="E22" i="2" s="1"/>
  <c r="E22" i="1"/>
  <c r="L42" i="1" l="1"/>
  <c r="K42" i="1"/>
  <c r="N44" i="1"/>
  <c r="A45" i="1"/>
  <c r="S44" i="1"/>
  <c r="K41" i="1"/>
  <c r="L41" i="1"/>
  <c r="C43" i="1"/>
  <c r="C42" i="2"/>
  <c r="F22" i="1"/>
  <c r="I22" i="1"/>
  <c r="I22" i="2"/>
  <c r="F22" i="2"/>
  <c r="N44" i="2"/>
  <c r="A45" i="2"/>
  <c r="S44" i="2"/>
  <c r="B57" i="3" s="1"/>
  <c r="M42" i="2"/>
  <c r="K41" i="2"/>
  <c r="L41" i="2"/>
  <c r="C44" i="1" l="1"/>
  <c r="C43" i="2"/>
  <c r="S45" i="1"/>
  <c r="A46" i="1"/>
  <c r="N45" i="1"/>
  <c r="M44" i="1" s="1"/>
  <c r="M43" i="1"/>
  <c r="O23" i="2"/>
  <c r="F35" i="3"/>
  <c r="G36" i="3" s="1"/>
  <c r="J23" i="2"/>
  <c r="U23" i="2" s="1"/>
  <c r="K42" i="2"/>
  <c r="L42" i="2"/>
  <c r="S45" i="2"/>
  <c r="B58" i="3" s="1"/>
  <c r="A46" i="2"/>
  <c r="N45" i="2"/>
  <c r="J23" i="1"/>
  <c r="M44" i="2"/>
  <c r="M43" i="2"/>
  <c r="D23" i="1"/>
  <c r="O23" i="1"/>
  <c r="L44" i="1" l="1"/>
  <c r="K44" i="1"/>
  <c r="A47" i="1"/>
  <c r="S46" i="1"/>
  <c r="N46" i="1"/>
  <c r="M45" i="1" s="1"/>
  <c r="L45" i="1" s="1"/>
  <c r="C44" i="2"/>
  <c r="C45" i="1"/>
  <c r="K44" i="2"/>
  <c r="L44" i="2"/>
  <c r="D23" i="2"/>
  <c r="E23" i="2" s="1"/>
  <c r="E23" i="1"/>
  <c r="K45" i="1"/>
  <c r="S46" i="2"/>
  <c r="B59" i="3" s="1"/>
  <c r="A47" i="2"/>
  <c r="N46" i="2"/>
  <c r="M45" i="2" s="1"/>
  <c r="C46" i="1" l="1"/>
  <c r="C45" i="2"/>
  <c r="A48" i="1"/>
  <c r="S47" i="1"/>
  <c r="N47" i="1"/>
  <c r="S47" i="2"/>
  <c r="B60" i="3" s="1"/>
  <c r="N47" i="2"/>
  <c r="M46" i="2" s="1"/>
  <c r="A48" i="2"/>
  <c r="F23" i="2"/>
  <c r="I23" i="2"/>
  <c r="K45" i="2"/>
  <c r="L45" i="2"/>
  <c r="I23" i="1"/>
  <c r="F23" i="1"/>
  <c r="S48" i="1" l="1"/>
  <c r="L4" i="1"/>
  <c r="N48" i="1"/>
  <c r="M48" i="1" s="1"/>
  <c r="M46" i="1"/>
  <c r="C47" i="1"/>
  <c r="C46" i="2"/>
  <c r="L46" i="2"/>
  <c r="K46" i="2"/>
  <c r="D24" i="1"/>
  <c r="L24" i="1" s="1"/>
  <c r="O24" i="1"/>
  <c r="N48" i="2"/>
  <c r="L4" i="2"/>
  <c r="S48" i="2"/>
  <c r="F36" i="3"/>
  <c r="G37" i="3" s="1"/>
  <c r="J24" i="2"/>
  <c r="M47" i="2"/>
  <c r="J24" i="1"/>
  <c r="K24" i="1" s="1"/>
  <c r="O24" i="2"/>
  <c r="M47" i="1" l="1"/>
  <c r="K47" i="1" s="1"/>
  <c r="U24" i="2"/>
  <c r="K24" i="2"/>
  <c r="C47" i="2"/>
  <c r="C48" i="1"/>
  <c r="G20" i="1" s="1"/>
  <c r="T20" i="1" s="1"/>
  <c r="G31" i="1"/>
  <c r="T31" i="1" s="1"/>
  <c r="G41" i="1"/>
  <c r="T41" i="1" s="1"/>
  <c r="G29" i="1"/>
  <c r="T29" i="1" s="1"/>
  <c r="L47" i="1"/>
  <c r="G35" i="1"/>
  <c r="T35" i="1" s="1"/>
  <c r="G45" i="1"/>
  <c r="T45" i="1" s="1"/>
  <c r="K46" i="1"/>
  <c r="L46" i="1"/>
  <c r="G27" i="1"/>
  <c r="T27" i="1" s="1"/>
  <c r="G39" i="1"/>
  <c r="T39" i="1" s="1"/>
  <c r="G38" i="1"/>
  <c r="T38" i="1" s="1"/>
  <c r="G34" i="1"/>
  <c r="T34" i="1" s="1"/>
  <c r="G44" i="1"/>
  <c r="T44" i="1" s="1"/>
  <c r="G26" i="1"/>
  <c r="T26" i="1" s="1"/>
  <c r="G32" i="1"/>
  <c r="T32" i="1" s="1"/>
  <c r="M48" i="2"/>
  <c r="L47" i="2"/>
  <c r="K47" i="2"/>
  <c r="D24" i="2"/>
  <c r="E24" i="1"/>
  <c r="B61" i="3"/>
  <c r="G62" i="3" s="1"/>
  <c r="E24" i="2" l="1"/>
  <c r="L24" i="2"/>
  <c r="G22" i="1"/>
  <c r="T22" i="1" s="1"/>
  <c r="G21" i="1"/>
  <c r="T21" i="1" s="1"/>
  <c r="G30" i="1"/>
  <c r="T30" i="1" s="1"/>
  <c r="G24" i="1"/>
  <c r="T24" i="1" s="1"/>
  <c r="G19" i="1"/>
  <c r="T19" i="1" s="1"/>
  <c r="G47" i="1"/>
  <c r="T47" i="1" s="1"/>
  <c r="G48" i="1"/>
  <c r="T48" i="1" s="1"/>
  <c r="C48" i="2"/>
  <c r="G33" i="1"/>
  <c r="T33" i="1" s="1"/>
  <c r="G43" i="1"/>
  <c r="T43" i="1" s="1"/>
  <c r="G40" i="1"/>
  <c r="T40" i="1" s="1"/>
  <c r="G46" i="1"/>
  <c r="T46" i="1" s="1"/>
  <c r="G17" i="1"/>
  <c r="T17" i="1" s="1"/>
  <c r="G36" i="1"/>
  <c r="T36" i="1" s="1"/>
  <c r="A6" i="1"/>
  <c r="G16" i="1"/>
  <c r="T16" i="1" s="1"/>
  <c r="G28" i="1"/>
  <c r="T28" i="1" s="1"/>
  <c r="G42" i="1"/>
  <c r="T42" i="1" s="1"/>
  <c r="G18" i="1"/>
  <c r="T18" i="1" s="1"/>
  <c r="G13" i="1"/>
  <c r="G25" i="1"/>
  <c r="T25" i="1" s="1"/>
  <c r="G14" i="1"/>
  <c r="T14" i="1" s="1"/>
  <c r="G23" i="1"/>
  <c r="T23" i="1" s="1"/>
  <c r="G15" i="1"/>
  <c r="T15" i="1" s="1"/>
  <c r="G37" i="1"/>
  <c r="T37" i="1" s="1"/>
  <c r="G47" i="2"/>
  <c r="T47" i="2" s="1"/>
  <c r="G16" i="2"/>
  <c r="T16" i="2" s="1"/>
  <c r="G17" i="2"/>
  <c r="T17" i="2" s="1"/>
  <c r="G33" i="2"/>
  <c r="T33" i="2" s="1"/>
  <c r="G30" i="2"/>
  <c r="T30" i="2" s="1"/>
  <c r="G28" i="2"/>
  <c r="T28" i="2" s="1"/>
  <c r="G27" i="2"/>
  <c r="T27" i="2" s="1"/>
  <c r="G38" i="2"/>
  <c r="T38" i="2" s="1"/>
  <c r="G32" i="2"/>
  <c r="T32" i="2" s="1"/>
  <c r="G40" i="2"/>
  <c r="T40" i="2" s="1"/>
  <c r="G37" i="2"/>
  <c r="T37" i="2" s="1"/>
  <c r="G13" i="2"/>
  <c r="G19" i="2"/>
  <c r="T19" i="2" s="1"/>
  <c r="G14" i="2"/>
  <c r="T14" i="2" s="1"/>
  <c r="G21" i="2"/>
  <c r="T21" i="2" s="1"/>
  <c r="G42" i="2"/>
  <c r="T42" i="2" s="1"/>
  <c r="G29" i="2"/>
  <c r="T29" i="2" s="1"/>
  <c r="G41" i="2"/>
  <c r="T41" i="2" s="1"/>
  <c r="G44" i="2"/>
  <c r="T44" i="2" s="1"/>
  <c r="G34" i="2"/>
  <c r="T34" i="2" s="1"/>
  <c r="G35" i="2"/>
  <c r="T35" i="2" s="1"/>
  <c r="G20" i="2"/>
  <c r="T20" i="2" s="1"/>
  <c r="G15" i="2"/>
  <c r="T15" i="2" s="1"/>
  <c r="I24" i="2"/>
  <c r="F24" i="2"/>
  <c r="I24" i="1"/>
  <c r="F24" i="1"/>
  <c r="I3" i="4" l="1"/>
  <c r="P5" i="1"/>
  <c r="H3" i="4" s="1"/>
  <c r="T13" i="2"/>
  <c r="T7" i="1"/>
  <c r="H4" i="1"/>
  <c r="I9" i="1" s="1"/>
  <c r="I4" i="1" s="1"/>
  <c r="C3" i="1" s="1"/>
  <c r="T13" i="1"/>
  <c r="T5" i="1" s="1"/>
  <c r="H10" i="1" s="1"/>
  <c r="T3" i="1"/>
  <c r="T4" i="1"/>
  <c r="G45" i="2"/>
  <c r="T45" i="2" s="1"/>
  <c r="G48" i="2"/>
  <c r="T48" i="2" s="1"/>
  <c r="G18" i="2"/>
  <c r="T18" i="2" s="1"/>
  <c r="G25" i="2"/>
  <c r="T25" i="2" s="1"/>
  <c r="G26" i="2"/>
  <c r="T26" i="2" s="1"/>
  <c r="G31" i="2"/>
  <c r="T31" i="2" s="1"/>
  <c r="G46" i="2"/>
  <c r="T46" i="2" s="1"/>
  <c r="A6" i="2"/>
  <c r="P5" i="2" s="1"/>
  <c r="G24" i="2"/>
  <c r="T24" i="2" s="1"/>
  <c r="G43" i="2"/>
  <c r="T43" i="2" s="1"/>
  <c r="G23" i="2"/>
  <c r="T23" i="2" s="1"/>
  <c r="G36" i="2"/>
  <c r="T36" i="2" s="1"/>
  <c r="G22" i="2"/>
  <c r="T22" i="2" s="1"/>
  <c r="G39" i="2"/>
  <c r="T39" i="2" s="1"/>
  <c r="D25" i="1"/>
  <c r="O25" i="1"/>
  <c r="J25" i="2"/>
  <c r="F37" i="3"/>
  <c r="G38" i="3" s="1"/>
  <c r="J25" i="1"/>
  <c r="O25" i="2"/>
  <c r="T8" i="1" l="1"/>
  <c r="T5" i="2"/>
  <c r="H10" i="2" s="1"/>
  <c r="T4" i="2"/>
  <c r="H4" i="2"/>
  <c r="I9" i="2" s="1"/>
  <c r="I4" i="2" s="1"/>
  <c r="C3" i="2" s="1"/>
  <c r="T3" i="2"/>
  <c r="T7" i="2"/>
  <c r="U25" i="2"/>
  <c r="D25" i="2"/>
  <c r="E25" i="1"/>
  <c r="T8" i="2" l="1"/>
  <c r="F25" i="1"/>
  <c r="I25" i="1"/>
  <c r="E25" i="2"/>
  <c r="F25" i="2" l="1"/>
  <c r="I25" i="2"/>
  <c r="J26" i="1"/>
  <c r="D26" i="1"/>
  <c r="O26" i="1"/>
  <c r="D26" i="2" l="1"/>
  <c r="E26" i="1"/>
  <c r="F38" i="3"/>
  <c r="G39" i="3" s="1"/>
  <c r="J26" i="2"/>
  <c r="O26" i="2"/>
  <c r="I26" i="1" l="1"/>
  <c r="F26" i="1"/>
  <c r="U26" i="2"/>
  <c r="E26" i="2"/>
  <c r="I26" i="2" l="1"/>
  <c r="F26" i="2"/>
  <c r="D27" i="1"/>
  <c r="O27" i="1"/>
  <c r="J27" i="1"/>
  <c r="D27" i="2" l="1"/>
  <c r="E27" i="1"/>
  <c r="O27" i="2"/>
  <c r="J27" i="2"/>
  <c r="F39" i="3"/>
  <c r="G40" i="3" s="1"/>
  <c r="F27" i="1" l="1"/>
  <c r="I27" i="1"/>
  <c r="U27" i="2"/>
  <c r="E27" i="2"/>
  <c r="J28" i="1" l="1"/>
  <c r="F27" i="2"/>
  <c r="I27" i="2"/>
  <c r="D28" i="1"/>
  <c r="O28" i="1"/>
  <c r="F40" i="3" l="1"/>
  <c r="G41" i="3" s="1"/>
  <c r="J28" i="2"/>
  <c r="O28" i="2"/>
  <c r="D28" i="2"/>
  <c r="E28" i="1"/>
  <c r="E28" i="2" l="1"/>
  <c r="F28" i="1"/>
  <c r="I28" i="1"/>
  <c r="U28" i="2"/>
  <c r="J29" i="1" l="1"/>
  <c r="D29" i="1"/>
  <c r="O29" i="1"/>
  <c r="I28" i="2"/>
  <c r="F28" i="2"/>
  <c r="O29" i="2" l="1"/>
  <c r="D29" i="2"/>
  <c r="E29" i="2" s="1"/>
  <c r="F29" i="2" s="1"/>
  <c r="E29" i="1"/>
  <c r="J29" i="2"/>
  <c r="U29" i="2" s="1"/>
  <c r="F41" i="3"/>
  <c r="G42" i="3" s="1"/>
  <c r="I29" i="2"/>
  <c r="O30" i="2" l="1"/>
  <c r="I29" i="1"/>
  <c r="F29" i="1"/>
  <c r="F42" i="3"/>
  <c r="G43" i="3" s="1"/>
  <c r="J30" i="2"/>
  <c r="U30" i="2" s="1"/>
  <c r="D30" i="1" l="1"/>
  <c r="O30" i="1"/>
  <c r="J30" i="1"/>
  <c r="D30" i="2" l="1"/>
  <c r="E30" i="2" s="1"/>
  <c r="E30" i="1"/>
  <c r="F30" i="1" l="1"/>
  <c r="I30" i="1"/>
  <c r="F30" i="2"/>
  <c r="I30" i="2"/>
  <c r="J31" i="1" l="1"/>
  <c r="J31" i="2"/>
  <c r="U31" i="2" s="1"/>
  <c r="F43" i="3"/>
  <c r="G44" i="3" s="1"/>
  <c r="O31" i="2"/>
  <c r="D31" i="1"/>
  <c r="O31" i="1"/>
  <c r="D31" i="2" l="1"/>
  <c r="E31" i="2" s="1"/>
  <c r="E31" i="1"/>
  <c r="F31" i="2" l="1"/>
  <c r="I31" i="2"/>
  <c r="F31" i="1"/>
  <c r="I31" i="1"/>
  <c r="J32" i="1" l="1"/>
  <c r="K31" i="1" s="1"/>
  <c r="D32" i="1"/>
  <c r="O32" i="1"/>
  <c r="J32" i="2"/>
  <c r="F44" i="3"/>
  <c r="G45" i="3" s="1"/>
  <c r="O32" i="2"/>
  <c r="D32" i="2" l="1"/>
  <c r="E32" i="1"/>
  <c r="L31" i="1"/>
  <c r="J9" i="1" s="1"/>
  <c r="U32" i="2"/>
  <c r="K31" i="2"/>
  <c r="E32" i="2" l="1"/>
  <c r="L31" i="2"/>
  <c r="J9" i="2" s="1"/>
  <c r="I6" i="1"/>
  <c r="I32" i="1"/>
  <c r="F32" i="1"/>
  <c r="D33" i="1" l="1"/>
  <c r="O33" i="1"/>
  <c r="J33" i="1"/>
  <c r="I6" i="2"/>
  <c r="F32" i="2"/>
  <c r="I32" i="2"/>
  <c r="O33" i="2" l="1"/>
  <c r="F45" i="3"/>
  <c r="G46" i="3" s="1"/>
  <c r="J33" i="2"/>
  <c r="U33" i="2" s="1"/>
  <c r="D33" i="2"/>
  <c r="E33" i="2" s="1"/>
  <c r="F33" i="2" s="1"/>
  <c r="E33" i="1"/>
  <c r="O34" i="2" l="1"/>
  <c r="I33" i="1"/>
  <c r="F33" i="1"/>
  <c r="I33" i="2"/>
  <c r="J34" i="2" l="1"/>
  <c r="U34" i="2" s="1"/>
  <c r="F46" i="3"/>
  <c r="G47" i="3" s="1"/>
  <c r="D34" i="1"/>
  <c r="O34" i="1"/>
  <c r="J34" i="1"/>
  <c r="D34" i="2" l="1"/>
  <c r="E34" i="2" s="1"/>
  <c r="E34" i="1"/>
  <c r="F34" i="1" l="1"/>
  <c r="I34" i="1"/>
  <c r="F34" i="2"/>
  <c r="I34" i="2"/>
  <c r="F47" i="3" l="1"/>
  <c r="G48" i="3" s="1"/>
  <c r="J35" i="2"/>
  <c r="U35" i="2" s="1"/>
  <c r="O35" i="2"/>
  <c r="J35" i="1"/>
  <c r="D35" i="1"/>
  <c r="O35" i="1"/>
  <c r="D35" i="2" l="1"/>
  <c r="E35" i="2" s="1"/>
  <c r="E35" i="1"/>
  <c r="I35" i="1" l="1"/>
  <c r="F35" i="1"/>
  <c r="I35" i="2"/>
  <c r="F35" i="2"/>
  <c r="J36" i="1" l="1"/>
  <c r="O36" i="2"/>
  <c r="J36" i="2"/>
  <c r="U36" i="2" s="1"/>
  <c r="F48" i="3"/>
  <c r="G49" i="3" s="1"/>
  <c r="D36" i="1"/>
  <c r="O36" i="1"/>
  <c r="D36" i="2" l="1"/>
  <c r="E36" i="2" s="1"/>
  <c r="E36" i="1"/>
  <c r="I36" i="2" l="1"/>
  <c r="F36" i="2"/>
  <c r="F36" i="1"/>
  <c r="I36" i="1"/>
  <c r="J37" i="1" l="1"/>
  <c r="D37" i="1"/>
  <c r="O37" i="1"/>
  <c r="J37" i="2"/>
  <c r="U37" i="2" s="1"/>
  <c r="F49" i="3"/>
  <c r="G50" i="3" s="1"/>
  <c r="O37" i="2"/>
  <c r="D37" i="2" l="1"/>
  <c r="E37" i="2" s="1"/>
  <c r="E37" i="1"/>
  <c r="I37" i="2" l="1"/>
  <c r="F37" i="2"/>
  <c r="I37" i="1"/>
  <c r="F37" i="1"/>
  <c r="D38" i="1" l="1"/>
  <c r="O38" i="1"/>
  <c r="J38" i="1"/>
  <c r="O38" i="2"/>
  <c r="J38" i="2"/>
  <c r="U38" i="2" s="1"/>
  <c r="F50" i="3"/>
  <c r="G51" i="3" s="1"/>
  <c r="D38" i="2" l="1"/>
  <c r="E38" i="2" s="1"/>
  <c r="E38" i="1"/>
  <c r="F38" i="2" l="1"/>
  <c r="I38" i="2"/>
  <c r="F38" i="1"/>
  <c r="I38" i="1"/>
  <c r="J39" i="1" l="1"/>
  <c r="D39" i="1"/>
  <c r="O39" i="1"/>
  <c r="F51" i="3"/>
  <c r="G52" i="3" s="1"/>
  <c r="J39" i="2"/>
  <c r="U39" i="2" s="1"/>
  <c r="O39" i="2"/>
  <c r="D39" i="2" l="1"/>
  <c r="E39" i="2" s="1"/>
  <c r="E39" i="1"/>
  <c r="F39" i="1" l="1"/>
  <c r="I39" i="1"/>
  <c r="I39" i="2"/>
  <c r="F39" i="2"/>
  <c r="D40" i="1" l="1"/>
  <c r="O40" i="1"/>
  <c r="O40" i="2"/>
  <c r="J40" i="2"/>
  <c r="U40" i="2" s="1"/>
  <c r="F52" i="3"/>
  <c r="G53" i="3" s="1"/>
  <c r="J40" i="1"/>
  <c r="D40" i="2" l="1"/>
  <c r="E40" i="2" s="1"/>
  <c r="E40" i="1"/>
  <c r="F40" i="1" l="1"/>
  <c r="I40" i="1"/>
  <c r="F40" i="2"/>
  <c r="I40" i="2"/>
  <c r="J41" i="1" l="1"/>
  <c r="D41" i="1"/>
  <c r="O41" i="1"/>
  <c r="J41" i="2"/>
  <c r="U41" i="2" s="1"/>
  <c r="F53" i="3"/>
  <c r="G54" i="3" s="1"/>
  <c r="O41" i="2"/>
  <c r="D41" i="2" l="1"/>
  <c r="E41" i="2" s="1"/>
  <c r="E41" i="1"/>
  <c r="I41" i="1" l="1"/>
  <c r="F41" i="1"/>
  <c r="F41" i="2"/>
  <c r="I41" i="2"/>
  <c r="F54" i="3" l="1"/>
  <c r="G55" i="3" s="1"/>
  <c r="J42" i="2"/>
  <c r="U42" i="2" s="1"/>
  <c r="D42" i="1"/>
  <c r="O42" i="1"/>
  <c r="O42" i="2"/>
  <c r="J42" i="1"/>
  <c r="D42" i="2" l="1"/>
  <c r="E42" i="2" s="1"/>
  <c r="E42" i="1"/>
  <c r="F42" i="1" l="1"/>
  <c r="I42" i="1"/>
  <c r="I42" i="2"/>
  <c r="F42" i="2"/>
  <c r="O43" i="2" l="1"/>
  <c r="F55" i="3"/>
  <c r="G56" i="3" s="1"/>
  <c r="J43" i="2"/>
  <c r="U43" i="2" s="1"/>
  <c r="J43" i="1"/>
  <c r="D43" i="1"/>
  <c r="O43" i="1"/>
  <c r="D43" i="2" l="1"/>
  <c r="E43" i="2" s="1"/>
  <c r="E43" i="1"/>
  <c r="F43" i="2" l="1"/>
  <c r="I43" i="2"/>
  <c r="F43" i="1"/>
  <c r="I43" i="1"/>
  <c r="O44" i="2" l="1"/>
  <c r="J44" i="1"/>
  <c r="K43" i="1" s="1"/>
  <c r="J44" i="2"/>
  <c r="F56" i="3"/>
  <c r="G57" i="3" s="1"/>
  <c r="D44" i="1"/>
  <c r="O44" i="1"/>
  <c r="U44" i="2" l="1"/>
  <c r="K43" i="2"/>
  <c r="D44" i="2"/>
  <c r="E44" i="1"/>
  <c r="L43" i="1"/>
  <c r="K9" i="1" s="1"/>
  <c r="J6" i="1" l="1"/>
  <c r="I44" i="1"/>
  <c r="F44" i="1"/>
  <c r="E44" i="2"/>
  <c r="L43" i="2"/>
  <c r="K9" i="2" s="1"/>
  <c r="D45" i="1" l="1"/>
  <c r="O45" i="1"/>
  <c r="J45" i="1"/>
  <c r="J6" i="2"/>
  <c r="F44" i="2"/>
  <c r="I44" i="2"/>
  <c r="J45" i="2" l="1"/>
  <c r="U45" i="2" s="1"/>
  <c r="F57" i="3"/>
  <c r="G58" i="3" s="1"/>
  <c r="O45" i="2"/>
  <c r="D45" i="2"/>
  <c r="E45" i="2" s="1"/>
  <c r="I45" i="2" s="1"/>
  <c r="E45" i="1"/>
  <c r="J46" i="2" l="1"/>
  <c r="U46" i="2" s="1"/>
  <c r="F58" i="3"/>
  <c r="G59" i="3" s="1"/>
  <c r="F45" i="2"/>
  <c r="F45" i="1"/>
  <c r="I45" i="1"/>
  <c r="O46" i="2" l="1"/>
  <c r="J46" i="1"/>
  <c r="D46" i="1"/>
  <c r="O46" i="1"/>
  <c r="D46" i="2" l="1"/>
  <c r="E46" i="2" s="1"/>
  <c r="E46" i="1"/>
  <c r="I46" i="2" l="1"/>
  <c r="F46" i="2"/>
  <c r="F46" i="1"/>
  <c r="I46" i="1"/>
  <c r="J47" i="1" l="1"/>
  <c r="D47" i="1"/>
  <c r="O47" i="1"/>
  <c r="O47" i="2"/>
  <c r="J47" i="2"/>
  <c r="U47" i="2" s="1"/>
  <c r="F59" i="3"/>
  <c r="G60" i="3" s="1"/>
  <c r="D47" i="2" l="1"/>
  <c r="E47" i="2" s="1"/>
  <c r="E47" i="1"/>
  <c r="F47" i="2" l="1"/>
  <c r="I47" i="2"/>
  <c r="I47" i="1"/>
  <c r="J48" i="1" s="1"/>
  <c r="F47" i="1"/>
  <c r="D48" i="1" l="1"/>
  <c r="O48" i="1"/>
  <c r="H6" i="1"/>
  <c r="K48" i="1"/>
  <c r="J48" i="2"/>
  <c r="F60" i="3"/>
  <c r="G61" i="3" s="1"/>
  <c r="O48" i="2"/>
  <c r="L10" i="1" l="1"/>
  <c r="K10" i="1"/>
  <c r="M10" i="1"/>
  <c r="J10" i="1"/>
  <c r="I10" i="1"/>
  <c r="N10" i="1"/>
  <c r="H8" i="1"/>
  <c r="D48" i="2"/>
  <c r="A8" i="1"/>
  <c r="E48" i="1"/>
  <c r="L48" i="1"/>
  <c r="U48" i="2"/>
  <c r="E3" i="4" s="1"/>
  <c r="H6" i="2"/>
  <c r="K48" i="2"/>
  <c r="A8" i="2" l="1"/>
  <c r="E48" i="2"/>
  <c r="L48" i="2"/>
  <c r="J7" i="1"/>
  <c r="J8" i="1" s="1"/>
  <c r="J11" i="1"/>
  <c r="N9" i="1"/>
  <c r="N6" i="1" s="1"/>
  <c r="L9" i="1"/>
  <c r="M9" i="1"/>
  <c r="M11" i="1"/>
  <c r="M7" i="1"/>
  <c r="M8" i="1" s="1"/>
  <c r="A10" i="1"/>
  <c r="F48" i="1"/>
  <c r="N7" i="1"/>
  <c r="N8" i="1" s="1"/>
  <c r="N11" i="1"/>
  <c r="K7" i="1"/>
  <c r="K11" i="1"/>
  <c r="L10" i="2"/>
  <c r="I10" i="2"/>
  <c r="J10" i="2"/>
  <c r="M10" i="2"/>
  <c r="K10" i="2"/>
  <c r="N10" i="2"/>
  <c r="H8" i="2"/>
  <c r="Q5" i="1"/>
  <c r="G3" i="4"/>
  <c r="D3" i="4"/>
  <c r="J4" i="1"/>
  <c r="E3" i="1" s="1"/>
  <c r="I11" i="1"/>
  <c r="I7" i="1"/>
  <c r="I8" i="1" s="1"/>
  <c r="L7" i="1"/>
  <c r="L8" i="1" s="1"/>
  <c r="L11" i="1"/>
  <c r="G4" i="1" l="1"/>
  <c r="G3" i="1"/>
  <c r="J7" i="2"/>
  <c r="J8" i="2" s="1"/>
  <c r="J11" i="2"/>
  <c r="A9" i="1"/>
  <c r="A7" i="1"/>
  <c r="M6" i="1"/>
  <c r="M3" i="4"/>
  <c r="N7" i="2"/>
  <c r="N8" i="2" s="1"/>
  <c r="N11" i="2"/>
  <c r="I11" i="2"/>
  <c r="I7" i="2"/>
  <c r="I8" i="2" s="1"/>
  <c r="J4" i="2"/>
  <c r="E3" i="2" s="1"/>
  <c r="L6" i="1"/>
  <c r="K6" i="1"/>
  <c r="K8" i="1" s="1"/>
  <c r="N9" i="2"/>
  <c r="N6" i="2" s="1"/>
  <c r="L9" i="2"/>
  <c r="M9" i="2"/>
  <c r="K11" i="2"/>
  <c r="K7" i="2"/>
  <c r="L11" i="2"/>
  <c r="L7" i="2"/>
  <c r="L8" i="2" s="1"/>
  <c r="A10" i="2"/>
  <c r="F48" i="2"/>
  <c r="M7" i="2"/>
  <c r="M8" i="2" s="1"/>
  <c r="M11" i="2"/>
  <c r="G3" i="2" l="1"/>
  <c r="G4" i="2"/>
  <c r="A9" i="2"/>
  <c r="A7" i="2"/>
  <c r="M6" i="2"/>
  <c r="L6" i="2"/>
  <c r="K6" i="2"/>
  <c r="K8" i="2" s="1"/>
  <c r="B8" i="5"/>
</calcChain>
</file>

<file path=xl/comments1.xml><?xml version="1.0" encoding="utf-8"?>
<comments xmlns="http://schemas.openxmlformats.org/spreadsheetml/2006/main">
  <authors>
    <author>张晓岚</author>
  </authors>
  <commentList>
    <comment ref="A5" authorId="0" shapeId="0">
      <text>
        <r>
          <rPr>
            <sz val="9"/>
            <color indexed="81"/>
            <rFont val="宋体"/>
            <family val="3"/>
            <charset val="134"/>
          </rPr>
          <t>注：低于大区总监权限项目即为低价项目</t>
        </r>
      </text>
    </comment>
  </commentList>
</comments>
</file>

<file path=xl/sharedStrings.xml><?xml version="1.0" encoding="utf-8"?>
<sst xmlns="http://schemas.openxmlformats.org/spreadsheetml/2006/main" count="243" uniqueCount="150">
  <si>
    <t>未回收成本</t>
  </si>
  <si>
    <t>总收益</t>
    <phoneticPr fontId="2" type="noConversion"/>
  </si>
  <si>
    <t>项目总额</t>
    <phoneticPr fontId="2" type="noConversion"/>
  </si>
  <si>
    <t>总资金占用</t>
    <phoneticPr fontId="2" type="noConversion"/>
  </si>
  <si>
    <t>首付款</t>
    <phoneticPr fontId="2" type="noConversion"/>
  </si>
  <si>
    <t>保证金</t>
    <phoneticPr fontId="2" type="noConversion"/>
  </si>
  <si>
    <t>每期租金</t>
    <phoneticPr fontId="2" type="noConversion"/>
  </si>
  <si>
    <t>管理费收入</t>
    <phoneticPr fontId="2" type="noConversion"/>
  </si>
  <si>
    <t>考核调整</t>
    <phoneticPr fontId="2" type="noConversion"/>
  </si>
  <si>
    <t>租前息</t>
    <phoneticPr fontId="2" type="noConversion"/>
  </si>
  <si>
    <t>其他收入</t>
    <phoneticPr fontId="2" type="noConversion"/>
  </si>
  <si>
    <t>其他支出</t>
    <phoneticPr fontId="2" type="noConversion"/>
  </si>
  <si>
    <t>残值收入</t>
    <phoneticPr fontId="2" type="noConversion"/>
  </si>
  <si>
    <t>现金流量</t>
    <phoneticPr fontId="2" type="noConversion"/>
  </si>
  <si>
    <t>TCR</t>
    <phoneticPr fontId="2" type="noConversion"/>
  </si>
  <si>
    <t>项目存续收入</t>
    <phoneticPr fontId="2" type="noConversion"/>
  </si>
  <si>
    <t>项目存续占用</t>
    <phoneticPr fontId="2" type="noConversion"/>
  </si>
  <si>
    <r>
      <t>项目存续</t>
    </r>
    <r>
      <rPr>
        <b/>
        <sz val="10"/>
        <rFont val="Arial"/>
        <family val="2"/>
      </rPr>
      <t>TCR</t>
    </r>
    <phoneticPr fontId="2" type="noConversion"/>
  </si>
  <si>
    <r>
      <t>累计存续</t>
    </r>
    <r>
      <rPr>
        <b/>
        <sz val="10"/>
        <rFont val="Arial"/>
        <family val="2"/>
      </rPr>
      <t>TCR</t>
    </r>
    <phoneticPr fontId="2" type="noConversion"/>
  </si>
  <si>
    <t>累计存续收入</t>
    <phoneticPr fontId="2" type="noConversion"/>
  </si>
  <si>
    <t>累计存续占用</t>
    <phoneticPr fontId="2" type="noConversion"/>
  </si>
  <si>
    <t>明示利率</t>
  </si>
  <si>
    <t>利率表现方式</t>
    <phoneticPr fontId="2" type="noConversion"/>
  </si>
  <si>
    <t>租金计算方式</t>
    <phoneticPr fontId="2" type="noConversion"/>
  </si>
  <si>
    <t>1、请选择交易结构</t>
    <phoneticPr fontId="2" type="noConversion"/>
  </si>
  <si>
    <t>调息方式</t>
    <phoneticPr fontId="2" type="noConversion"/>
  </si>
  <si>
    <t>首期租金日</t>
    <phoneticPr fontId="2" type="noConversion"/>
  </si>
  <si>
    <t>末期租金日</t>
    <phoneticPr fontId="2" type="noConversion"/>
  </si>
  <si>
    <t>第2年</t>
    <phoneticPr fontId="2" type="noConversion"/>
  </si>
  <si>
    <t>起租日</t>
    <phoneticPr fontId="2" type="noConversion"/>
  </si>
  <si>
    <t>租金期次</t>
    <phoneticPr fontId="2" type="noConversion"/>
  </si>
  <si>
    <t>租金收入</t>
    <phoneticPr fontId="2" type="noConversion"/>
  </si>
  <si>
    <t>利息收入</t>
    <phoneticPr fontId="2" type="noConversion"/>
  </si>
  <si>
    <t>回收成本</t>
    <phoneticPr fontId="2" type="noConversion"/>
  </si>
  <si>
    <t>2、合理预计调整起租日</t>
    <phoneticPr fontId="2" type="noConversion"/>
  </si>
  <si>
    <t>等额租金</t>
  </si>
  <si>
    <t>等额本金</t>
  </si>
  <si>
    <t>先付</t>
  </si>
  <si>
    <t>不等额租金</t>
  </si>
  <si>
    <t>融资租赁租金及收益测算表-等期</t>
    <phoneticPr fontId="2" type="noConversion"/>
  </si>
  <si>
    <t>按金额调息</t>
    <phoneticPr fontId="2" type="noConversion"/>
  </si>
  <si>
    <t>按比例调息</t>
    <phoneticPr fontId="2" type="noConversion"/>
  </si>
  <si>
    <t>3、公式如被破坏请下载清洁版</t>
    <phoneticPr fontId="2" type="noConversion"/>
  </si>
  <si>
    <t>租金日</t>
    <phoneticPr fontId="2" type="noConversion"/>
  </si>
  <si>
    <t>XIRR</t>
    <phoneticPr fontId="2" type="noConversion"/>
  </si>
  <si>
    <t xml:space="preserve">  首次使用此表请在“工具”菜单上，单击“加载宏”,在列表中勾选“分析工具库”，单击“确定”。 </t>
    <phoneticPr fontId="2" type="noConversion"/>
  </si>
  <si>
    <t>租期（年）</t>
  </si>
  <si>
    <t>返点收入</t>
  </si>
  <si>
    <t>年利率</t>
  </si>
  <si>
    <t>利息补贴</t>
  </si>
  <si>
    <t>年还租次数</t>
  </si>
  <si>
    <t>服务费收入</t>
  </si>
  <si>
    <t>资产余值</t>
    <phoneticPr fontId="2" type="noConversion"/>
  </si>
  <si>
    <t>租金偿还方式</t>
    <phoneticPr fontId="2" type="noConversion"/>
  </si>
  <si>
    <t>4、请勿删行或删列</t>
  </si>
  <si>
    <t>存续收入</t>
    <phoneticPr fontId="2" type="noConversion"/>
  </si>
  <si>
    <t>存续占用</t>
    <phoneticPr fontId="2" type="noConversion"/>
  </si>
  <si>
    <t>常规先付</t>
    <phoneticPr fontId="2" type="noConversion"/>
  </si>
  <si>
    <t>常规后付</t>
    <phoneticPr fontId="2" type="noConversion"/>
  </si>
  <si>
    <t>差额</t>
    <phoneticPr fontId="2" type="noConversion"/>
  </si>
  <si>
    <t>概算IRR</t>
    <phoneticPr fontId="2" type="noConversion"/>
  </si>
  <si>
    <t>租金收入总额</t>
    <phoneticPr fontId="2" type="noConversion"/>
  </si>
  <si>
    <t>修正租金日</t>
    <phoneticPr fontId="2" type="noConversion"/>
  </si>
  <si>
    <t>修正现金流量</t>
    <phoneticPr fontId="2" type="noConversion"/>
  </si>
  <si>
    <t>第3年</t>
    <phoneticPr fontId="2" type="noConversion"/>
  </si>
  <si>
    <t>第4年</t>
    <phoneticPr fontId="2" type="noConversion"/>
  </si>
  <si>
    <t>第5年</t>
    <phoneticPr fontId="2" type="noConversion"/>
  </si>
  <si>
    <t>第6年</t>
    <phoneticPr fontId="2" type="noConversion"/>
  </si>
  <si>
    <t>第7年</t>
    <phoneticPr fontId="2" type="noConversion"/>
  </si>
  <si>
    <t>租金总额（含首付款）</t>
    <phoneticPr fontId="2" type="noConversion"/>
  </si>
  <si>
    <t>No.20120830</t>
    <phoneticPr fontId="2" type="noConversion"/>
  </si>
  <si>
    <t>产品名称</t>
    <phoneticPr fontId="2" type="noConversion"/>
  </si>
  <si>
    <t>产品资金成本率</t>
    <phoneticPr fontId="2" type="noConversion"/>
  </si>
  <si>
    <t>美元结汇</t>
    <phoneticPr fontId="2" type="noConversion"/>
  </si>
  <si>
    <t>原币划转</t>
    <phoneticPr fontId="2" type="noConversion"/>
  </si>
  <si>
    <t>直租银票（区域性）</t>
    <phoneticPr fontId="2" type="noConversion"/>
  </si>
  <si>
    <t>商票</t>
    <phoneticPr fontId="2" type="noConversion"/>
  </si>
  <si>
    <t>履约保函</t>
    <phoneticPr fontId="2" type="noConversion"/>
  </si>
  <si>
    <t>联行保函</t>
    <phoneticPr fontId="2" type="noConversion"/>
  </si>
  <si>
    <t>1、内部银行产品报价</t>
    <phoneticPr fontId="2" type="noConversion"/>
  </si>
  <si>
    <t>央行人民币贷款基准利率（年）</t>
    <phoneticPr fontId="2" type="noConversion"/>
  </si>
  <si>
    <t>&gt;5</t>
    <phoneticPr fontId="2" type="noConversion"/>
  </si>
  <si>
    <t>人民币电汇</t>
    <phoneticPr fontId="2" type="noConversion"/>
  </si>
  <si>
    <t>2、项目内部银行产品类型</t>
    <phoneticPr fontId="2" type="noConversion"/>
  </si>
  <si>
    <t>3、资产成本节约贡献额</t>
    <phoneticPr fontId="2" type="noConversion"/>
  </si>
  <si>
    <t>低价资金产品现金流调整</t>
    <phoneticPr fontId="2" type="noConversion"/>
  </si>
  <si>
    <t>资金成本节约贡献-外币产品类</t>
    <phoneticPr fontId="2" type="noConversion"/>
  </si>
  <si>
    <t>资金占用调整-外币产品类</t>
    <phoneticPr fontId="2" type="noConversion"/>
  </si>
  <si>
    <t>直租银票（全国性）</t>
    <phoneticPr fontId="2" type="noConversion"/>
  </si>
  <si>
    <t>回租银票</t>
    <phoneticPr fontId="2" type="noConversion"/>
  </si>
  <si>
    <t>电子银票-直租银票（全国性）</t>
    <phoneticPr fontId="2" type="noConversion"/>
  </si>
  <si>
    <t>电子银票-直租银票（区域性）</t>
    <phoneticPr fontId="2" type="noConversion"/>
  </si>
  <si>
    <t>电子银票-回租银票</t>
    <phoneticPr fontId="2" type="noConversion"/>
  </si>
  <si>
    <t>隐含利率</t>
  </si>
  <si>
    <t>黄色部分待央行利率变动时维护</t>
    <phoneticPr fontId="2" type="noConversion"/>
  </si>
  <si>
    <t>延期支付月占用调整-延期支付类</t>
    <phoneticPr fontId="2" type="noConversion"/>
  </si>
  <si>
    <t>额度成本增加额-延期支付类</t>
    <phoneticPr fontId="2" type="noConversion"/>
  </si>
  <si>
    <t>境内远期信用证</t>
    <phoneticPr fontId="2" type="noConversion"/>
  </si>
  <si>
    <t>境外远期信用证</t>
    <phoneticPr fontId="2" type="noConversion"/>
  </si>
  <si>
    <t>利率</t>
    <phoneticPr fontId="2" type="noConversion"/>
  </si>
  <si>
    <t>最近一次调息日：</t>
  </si>
  <si>
    <t>财产险</t>
    <phoneticPr fontId="2" type="noConversion"/>
  </si>
  <si>
    <t>信保费</t>
    <phoneticPr fontId="2" type="noConversion"/>
  </si>
  <si>
    <t>税金</t>
    <phoneticPr fontId="2" type="noConversion"/>
  </si>
  <si>
    <t>项目整体贡献测算</t>
    <phoneticPr fontId="2" type="noConversion"/>
  </si>
  <si>
    <t>印花税</t>
    <phoneticPr fontId="2" type="noConversion"/>
  </si>
  <si>
    <t>服务费收入</t>
    <phoneticPr fontId="2" type="noConversion"/>
  </si>
  <si>
    <t>利息收入</t>
    <phoneticPr fontId="2" type="noConversion"/>
  </si>
  <si>
    <t>额度成本</t>
    <phoneticPr fontId="2" type="noConversion"/>
  </si>
  <si>
    <t>资金成本</t>
    <phoneticPr fontId="2" type="noConversion"/>
  </si>
  <si>
    <t>贡献</t>
    <phoneticPr fontId="2" type="noConversion"/>
  </si>
  <si>
    <t>暗远期时有余额</t>
    <phoneticPr fontId="2" type="noConversion"/>
  </si>
  <si>
    <t>贴现支出</t>
    <phoneticPr fontId="2" type="noConversion"/>
  </si>
  <si>
    <t>返点收入</t>
    <phoneticPr fontId="2" type="noConversion"/>
  </si>
  <si>
    <t>未考虑税金</t>
    <phoneticPr fontId="2" type="noConversion"/>
  </si>
  <si>
    <r>
      <rPr>
        <b/>
        <sz val="10"/>
        <rFont val="宋体"/>
        <family val="3"/>
        <charset val="134"/>
      </rPr>
      <t>前提假设：</t>
    </r>
    <r>
      <rPr>
        <sz val="10"/>
        <rFont val="宋体"/>
        <family val="3"/>
        <charset val="134"/>
      </rPr>
      <t xml:space="preserve">
1、财产险：费率为项目金额万分之2.5每年。
2、信保费：信保费=租金总额×限额批复比率×0.25%×项目年限。费率为0.25%每年，此处限额批复比率暂按80%计算。目前仅印刷瓦楞项目、包装、造纸项目进行投保。
3、税金及附加：利息收入17%税率计征，服务费收入6%税率计征，另计征附加税为两者税金之和扣减资金成本税金后的13%。
4、印花税：项目金额的万分之3，项目金额及利息之和万分之0.5。
5、贡献测算不考虑四项费用及人工成本。
6、项目贡献为整个租赁期，故未考虑年度拨备因素影响。 </t>
    </r>
    <phoneticPr fontId="2" type="noConversion"/>
  </si>
  <si>
    <t>人民币电汇</t>
  </si>
  <si>
    <t>否</t>
  </si>
  <si>
    <t>2、合理预计起租日</t>
    <phoneticPr fontId="2" type="noConversion"/>
  </si>
  <si>
    <t>1、请正确选择交易结构</t>
    <phoneticPr fontId="2" type="noConversion"/>
  </si>
  <si>
    <t>修正XIRR</t>
    <phoneticPr fontId="2" type="noConversion"/>
  </si>
  <si>
    <t>符合客户经理报价权限</t>
  </si>
  <si>
    <t>对应年限取值</t>
    <phoneticPr fontId="2" type="noConversion"/>
  </si>
  <si>
    <t>大类</t>
    <phoneticPr fontId="2" type="noConversion"/>
  </si>
  <si>
    <t>下拉式选项</t>
    <phoneticPr fontId="2" type="noConversion"/>
  </si>
  <si>
    <t>备注</t>
    <phoneticPr fontId="2" type="noConversion"/>
  </si>
  <si>
    <t>业务机会</t>
    <phoneticPr fontId="2" type="noConversion"/>
  </si>
  <si>
    <t>II 类业务机会</t>
  </si>
  <si>
    <t>*必选项</t>
    <phoneticPr fontId="2" type="noConversion"/>
  </si>
  <si>
    <t>是否直转回</t>
    <phoneticPr fontId="2" type="noConversion"/>
  </si>
  <si>
    <t>非直转回项目</t>
  </si>
  <si>
    <t>报价权限</t>
    <phoneticPr fontId="2" type="noConversion"/>
  </si>
  <si>
    <t>是否低价项目</t>
    <phoneticPr fontId="2" type="noConversion"/>
  </si>
  <si>
    <t>低价原因</t>
    <phoneticPr fontId="2" type="noConversion"/>
  </si>
  <si>
    <t>低价详细说明</t>
    <phoneticPr fontId="2" type="noConversion"/>
  </si>
  <si>
    <t>流程意见
（自动生成）</t>
    <phoneticPr fontId="2" type="noConversion"/>
  </si>
  <si>
    <t>宏明即期+远东延期支付</t>
  </si>
  <si>
    <t>No.20140325</t>
    <phoneticPr fontId="2" type="noConversion"/>
  </si>
  <si>
    <t>包装财务部</t>
    <phoneticPr fontId="2" type="noConversion"/>
  </si>
  <si>
    <t>注1：将B8单元格拷贝复制出即可（粘贴值）。
注2：请勿删除公式。</t>
    <phoneticPr fontId="2" type="noConversion"/>
  </si>
  <si>
    <t>如为低价项目，则必选</t>
    <phoneticPr fontId="2" type="noConversion"/>
  </si>
  <si>
    <t>如为低价项目，则须手工填写低价原因、竞争对手报价等描述。</t>
    <phoneticPr fontId="2" type="noConversion"/>
  </si>
  <si>
    <r>
      <rPr>
        <b/>
        <sz val="16"/>
        <rFont val="微软雅黑"/>
        <family val="2"/>
        <charset val="134"/>
      </rPr>
      <t xml:space="preserve">                                                                          测算表使用说明</t>
    </r>
    <r>
      <rPr>
        <b/>
        <sz val="11"/>
        <rFont val="微软雅黑"/>
        <family val="2"/>
        <charset val="134"/>
      </rPr>
      <t xml:space="preserve">
一、基础使用功能</t>
    </r>
    <r>
      <rPr>
        <sz val="11"/>
        <rFont val="微软雅黑"/>
        <family val="2"/>
        <charset val="134"/>
      </rPr>
      <t xml:space="preserve">
1、</t>
    </r>
    <r>
      <rPr>
        <b/>
        <sz val="11"/>
        <color indexed="56"/>
        <rFont val="微软雅黑"/>
        <family val="2"/>
        <charset val="134"/>
      </rPr>
      <t>选择支付方式</t>
    </r>
    <r>
      <rPr>
        <sz val="11"/>
        <rFont val="微软雅黑"/>
        <family val="2"/>
        <charset val="134"/>
      </rPr>
      <t>：在“正常测算”表的H1单元格选择设备款</t>
    </r>
    <r>
      <rPr>
        <b/>
        <sz val="11"/>
        <color indexed="40"/>
        <rFont val="微软雅黑"/>
        <family val="2"/>
        <charset val="134"/>
      </rPr>
      <t>支付方式</t>
    </r>
    <r>
      <rPr>
        <sz val="11"/>
        <rFont val="微软雅黑"/>
        <family val="2"/>
        <charset val="134"/>
      </rPr>
      <t>；
2、</t>
    </r>
    <r>
      <rPr>
        <b/>
        <sz val="11"/>
        <color indexed="56"/>
        <rFont val="微软雅黑"/>
        <family val="2"/>
        <charset val="134"/>
      </rPr>
      <t>单变量求解</t>
    </r>
    <r>
      <rPr>
        <sz val="11"/>
        <rFont val="微软雅黑"/>
        <family val="2"/>
        <charset val="134"/>
      </rPr>
      <t>：在测算表表头黄色区域内按照预计签约时最终合同版本填写相关租赁要素，填写完成后进行单变量求解，确保最后一期租金还款后未回收成本为0；
3、</t>
    </r>
    <r>
      <rPr>
        <b/>
        <sz val="11"/>
        <color indexed="56"/>
        <rFont val="微软雅黑"/>
        <family val="2"/>
        <charset val="134"/>
      </rPr>
      <t>现金流调整</t>
    </r>
    <r>
      <rPr>
        <sz val="11"/>
        <rFont val="微软雅黑"/>
        <family val="2"/>
        <charset val="134"/>
      </rPr>
      <t>：涉及远期支付、服务费分笔收取时，请在对应H列、R列调整现金流；
4、</t>
    </r>
    <r>
      <rPr>
        <b/>
        <sz val="11"/>
        <color indexed="56"/>
        <rFont val="微软雅黑"/>
        <family val="2"/>
        <charset val="134"/>
      </rPr>
      <t>“指标还原”表页</t>
    </r>
    <r>
      <rPr>
        <sz val="11"/>
        <rFont val="微软雅黑"/>
        <family val="2"/>
        <charset val="134"/>
      </rPr>
      <t>：已锁定。明示使用远期支付/外币支付/跨境贸易等方式下的</t>
    </r>
    <r>
      <rPr>
        <b/>
        <sz val="11"/>
        <color indexed="40"/>
        <rFont val="微软雅黑"/>
        <family val="2"/>
        <charset val="134"/>
      </rPr>
      <t>真实收益率</t>
    </r>
    <r>
      <rPr>
        <sz val="11"/>
        <rFont val="微软雅黑"/>
        <family val="2"/>
        <charset val="134"/>
      </rPr>
      <t>；
5、</t>
    </r>
    <r>
      <rPr>
        <b/>
        <sz val="11"/>
        <color indexed="56"/>
        <rFont val="微软雅黑"/>
        <family val="2"/>
        <charset val="134"/>
      </rPr>
      <t>“利润预估”表页</t>
    </r>
    <r>
      <rPr>
        <sz val="11"/>
        <rFont val="微软雅黑"/>
        <family val="2"/>
        <charset val="134"/>
      </rPr>
      <t>：已锁定。明示现有结构下</t>
    </r>
    <r>
      <rPr>
        <b/>
        <sz val="11"/>
        <color indexed="40"/>
        <rFont val="微软雅黑"/>
        <family val="2"/>
        <charset val="134"/>
      </rPr>
      <t>单体项目利润构成</t>
    </r>
    <r>
      <rPr>
        <sz val="11"/>
        <rFont val="微软雅黑"/>
        <family val="2"/>
        <charset val="134"/>
      </rPr>
      <t xml:space="preserve">（不含人工成本及四项费用等）；
</t>
    </r>
    <r>
      <rPr>
        <b/>
        <sz val="11"/>
        <rFont val="微软雅黑"/>
        <family val="2"/>
        <charset val="134"/>
      </rPr>
      <t xml:space="preserve">二、2014版测算表新增修订
</t>
    </r>
    <r>
      <rPr>
        <sz val="11"/>
        <rFont val="微软雅黑"/>
        <family val="2"/>
        <charset val="134"/>
      </rPr>
      <t>1、</t>
    </r>
    <r>
      <rPr>
        <b/>
        <sz val="11"/>
        <color indexed="40"/>
        <rFont val="微软雅黑"/>
        <family val="2"/>
        <charset val="134"/>
      </rPr>
      <t>自动生成流程意见</t>
    </r>
    <r>
      <rPr>
        <sz val="11"/>
        <rFont val="微软雅黑"/>
        <family val="2"/>
        <charset val="134"/>
      </rPr>
      <t>：“流程意见”表页，填写必选项、低价原因后（如有），B8单元格将自动生成流程意见，直接复制粘贴使用即可，供项目经理填写资评流程意见使用。
2、</t>
    </r>
    <r>
      <rPr>
        <b/>
        <sz val="11"/>
        <color indexed="40"/>
        <rFont val="微软雅黑"/>
        <family val="2"/>
        <charset val="134"/>
      </rPr>
      <t>预警提示</t>
    </r>
    <r>
      <rPr>
        <sz val="11"/>
        <rFont val="微软雅黑"/>
        <family val="2"/>
        <charset val="134"/>
      </rPr>
      <t>：如出现</t>
    </r>
    <r>
      <rPr>
        <b/>
        <u/>
        <sz val="11"/>
        <color indexed="10"/>
        <rFont val="微软雅黑"/>
        <family val="2"/>
        <charset val="134"/>
      </rPr>
      <t>租金中未回收成本为负、年利率低于同期银行基准利率、存续TCR低于报价指引中最低要求</t>
    </r>
    <r>
      <rPr>
        <u/>
        <sz val="11"/>
        <rFont val="微软雅黑"/>
        <family val="2"/>
        <charset val="134"/>
      </rPr>
      <t>（</t>
    </r>
    <r>
      <rPr>
        <u/>
        <sz val="10"/>
        <rFont val="微软雅黑"/>
        <family val="2"/>
        <charset val="134"/>
      </rPr>
      <t>注</t>
    </r>
    <r>
      <rPr>
        <u/>
        <sz val="11"/>
        <rFont val="微软雅黑"/>
        <family val="2"/>
        <charset val="134"/>
      </rPr>
      <t>：</t>
    </r>
    <r>
      <rPr>
        <u/>
        <sz val="10"/>
        <rFont val="微软雅黑"/>
        <family val="2"/>
        <charset val="134"/>
      </rPr>
      <t>租赁期低于1年除外</t>
    </r>
    <r>
      <rPr>
        <u/>
        <sz val="11"/>
        <rFont val="微软雅黑"/>
        <family val="2"/>
        <charset val="134"/>
      </rPr>
      <t>）等情况</t>
    </r>
    <r>
      <rPr>
        <sz val="11"/>
        <rFont val="微软雅黑"/>
        <family val="2"/>
        <charset val="134"/>
      </rPr>
      <t>，单元格会自动以</t>
    </r>
    <r>
      <rPr>
        <b/>
        <sz val="11"/>
        <color indexed="10"/>
        <rFont val="微软雅黑"/>
        <family val="2"/>
        <charset val="134"/>
      </rPr>
      <t>红色背景</t>
    </r>
    <r>
      <rPr>
        <sz val="11"/>
        <rFont val="微软雅黑"/>
        <family val="2"/>
        <charset val="134"/>
      </rPr>
      <t>予以提示，需进行调整后方可提交流程。
如有疑问，请与对口财务经办联系。</t>
    </r>
    <phoneticPr fontId="2" type="noConversion"/>
  </si>
  <si>
    <t>融资金额</t>
    <phoneticPr fontId="2" type="noConversion"/>
  </si>
  <si>
    <t>平息测算</t>
    <phoneticPr fontId="2" type="noConversion"/>
  </si>
  <si>
    <t>平息利息</t>
    <phoneticPr fontId="2" type="noConversion"/>
  </si>
  <si>
    <t>平均租金</t>
    <phoneticPr fontId="2" type="noConversion"/>
  </si>
  <si>
    <t>后付</t>
  </si>
  <si>
    <t>租赁世界推荐学习</t>
    <phoneticPr fontId="2" type="noConversion"/>
  </si>
  <si>
    <t>来源：网络</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</si>
</sst>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8" formatCode="&quot;¥&quot;#,##0.00;[Red]&quot;¥&quot;\-#,##0.00"/>
    <numFmt numFmtId="43" formatCode="_ * #,##0.00_ ;_ * \-#,##0.00_ ;_ * &quot;-&quot;??_ ;_ @_ "/>
    <numFmt numFmtId="176" formatCode="#,##0.00_ "/>
    <numFmt numFmtId="177" formatCode="0.0%"/>
    <numFmt numFmtId="178" formatCode="0.00_ "/>
    <numFmt numFmtId="179" formatCode="_ * #,##0.000000_ ;_ * \-#,##0.000000_ ;_ * &quot;-&quot;??????_ ;_ @_ "/>
    <numFmt numFmtId="180" formatCode="_ * #,##0_ ;_ * \-#,##0_ ;_ * &quot;-&quot;??_ ;_ @_ "/>
  </numFmts>
  <fonts count="41">
    <font>
      <sz val="12"/>
      <name val="宋体"/>
      <charset val="134"/>
    </font>
    <font>
      <sz val="12"/>
      <name val="宋体"/>
      <family val="3"/>
      <charset val="134"/>
    </font>
    <font>
      <sz val="9"/>
      <name val="宋体"/>
      <family val="3"/>
      <charset val="134"/>
    </font>
    <font>
      <sz val="12"/>
      <name val="Arial"/>
      <family val="2"/>
    </font>
    <font>
      <b/>
      <sz val="10"/>
      <name val="Arial"/>
      <family val="2"/>
    </font>
    <font>
      <sz val="10"/>
      <name val="宋体"/>
      <family val="3"/>
      <charset val="134"/>
    </font>
    <font>
      <b/>
      <sz val="10"/>
      <color indexed="12"/>
      <name val="宋体"/>
      <family val="3"/>
      <charset val="134"/>
    </font>
    <font>
      <sz val="10"/>
      <name val="Arial"/>
      <family val="2"/>
    </font>
    <font>
      <b/>
      <sz val="10"/>
      <name val="宋体"/>
      <family val="3"/>
      <charset val="134"/>
    </font>
    <font>
      <b/>
      <sz val="14"/>
      <name val="宋体"/>
      <family val="3"/>
      <charset val="134"/>
    </font>
    <font>
      <b/>
      <sz val="9"/>
      <name val="宋体"/>
      <family val="3"/>
      <charset val="134"/>
    </font>
    <font>
      <b/>
      <sz val="10"/>
      <color indexed="10"/>
      <name val="宋体"/>
      <family val="3"/>
      <charset val="134"/>
    </font>
    <font>
      <b/>
      <sz val="10"/>
      <color indexed="62"/>
      <name val="Arial"/>
      <family val="2"/>
    </font>
    <font>
      <b/>
      <sz val="10"/>
      <color indexed="62"/>
      <name val="宋体"/>
      <family val="3"/>
      <charset val="134"/>
    </font>
    <font>
      <sz val="10"/>
      <color indexed="22"/>
      <name val="arial"/>
      <family val="2"/>
    </font>
    <font>
      <sz val="12"/>
      <name val="宋体"/>
      <family val="3"/>
      <charset val="134"/>
    </font>
    <font>
      <b/>
      <sz val="11"/>
      <name val="宋体"/>
      <family val="3"/>
      <charset val="134"/>
    </font>
    <font>
      <b/>
      <sz val="10"/>
      <name val="微软雅黑"/>
      <family val="2"/>
      <charset val="134"/>
    </font>
    <font>
      <sz val="10"/>
      <name val="微软雅黑"/>
      <family val="2"/>
      <charset val="134"/>
    </font>
    <font>
      <sz val="9"/>
      <color indexed="81"/>
      <name val="宋体"/>
      <family val="3"/>
      <charset val="134"/>
    </font>
    <font>
      <b/>
      <sz val="11"/>
      <name val="微软雅黑"/>
      <family val="2"/>
      <charset val="134"/>
    </font>
    <font>
      <sz val="12"/>
      <name val="微软雅黑"/>
      <family val="2"/>
      <charset val="134"/>
    </font>
    <font>
      <sz val="11"/>
      <name val="微软雅黑"/>
      <family val="2"/>
      <charset val="134"/>
    </font>
    <font>
      <b/>
      <sz val="16"/>
      <name val="微软雅黑"/>
      <family val="2"/>
      <charset val="134"/>
    </font>
    <font>
      <b/>
      <sz val="11"/>
      <color indexed="56"/>
      <name val="微软雅黑"/>
      <family val="2"/>
      <charset val="134"/>
    </font>
    <font>
      <b/>
      <sz val="11"/>
      <color indexed="40"/>
      <name val="微软雅黑"/>
      <family val="2"/>
      <charset val="134"/>
    </font>
    <font>
      <b/>
      <u/>
      <sz val="11"/>
      <color indexed="10"/>
      <name val="微软雅黑"/>
      <family val="2"/>
      <charset val="134"/>
    </font>
    <font>
      <u/>
      <sz val="11"/>
      <name val="微软雅黑"/>
      <family val="2"/>
      <charset val="134"/>
    </font>
    <font>
      <u/>
      <sz val="10"/>
      <name val="微软雅黑"/>
      <family val="2"/>
      <charset val="134"/>
    </font>
    <font>
      <b/>
      <sz val="11"/>
      <color indexed="10"/>
      <name val="微软雅黑"/>
      <family val="2"/>
      <charset val="134"/>
    </font>
    <font>
      <b/>
      <sz val="12"/>
      <name val="微软雅黑"/>
      <family val="2"/>
      <charset val="134"/>
    </font>
    <font>
      <b/>
      <sz val="11"/>
      <color theme="0"/>
      <name val="宋体"/>
      <family val="3"/>
      <charset val="134"/>
      <scheme val="minor"/>
    </font>
    <font>
      <sz val="12"/>
      <color rgb="FFFF0000"/>
      <name val="宋体"/>
      <family val="3"/>
      <charset val="134"/>
    </font>
    <font>
      <b/>
      <sz val="10"/>
      <color rgb="FFFF0000"/>
      <name val="Arial"/>
      <family val="2"/>
    </font>
    <font>
      <b/>
      <sz val="10"/>
      <color theme="1"/>
      <name val="Arial"/>
      <family val="2"/>
    </font>
    <font>
      <b/>
      <sz val="11"/>
      <color theme="0"/>
      <name val="微软雅黑"/>
      <family val="2"/>
      <charset val="134"/>
    </font>
    <font>
      <b/>
      <sz val="10"/>
      <color theme="1"/>
      <name val="微软雅黑"/>
      <family val="2"/>
      <charset val="134"/>
    </font>
    <font>
      <sz val="10"/>
      <color theme="1"/>
      <name val="微软雅黑"/>
      <family val="2"/>
      <charset val="134"/>
    </font>
    <font>
      <sz val="10"/>
      <color rgb="FF002060"/>
      <name val="微软雅黑"/>
      <family val="2"/>
      <charset val="134"/>
    </font>
    <font>
      <b/>
      <sz val="11"/>
      <color theme="3" tint="0.39997558519241921"/>
      <name val="宋体"/>
      <family val="3"/>
      <charset val="134"/>
      <scheme val="minor"/>
    </font>
    <font>
      <b/>
      <sz val="10"/>
      <color rgb="FFFF0000"/>
      <name val="宋体"/>
      <family val="3"/>
      <charset val="134"/>
    </font>
  </fonts>
  <fills count="12">
    <fill>
      <patternFill patternType="none"/>
    </fill>
    <fill>
      <patternFill patternType="gray125"/>
    </fill>
    <fill>
      <patternFill patternType="solid">
        <fgColor indexed="50"/>
        <bgColor indexed="64"/>
      </patternFill>
    </fill>
    <fill>
      <patternFill patternType="solid">
        <fgColor indexed="43"/>
        <bgColor indexed="64"/>
      </patternFill>
    </fill>
    <fill>
      <patternFill patternType="solid">
        <fgColor rgb="FF92D050"/>
        <bgColor indexed="64"/>
      </patternFill>
    </fill>
    <fill>
      <patternFill patternType="solid">
        <fgColor rgb="FFFFC000"/>
        <bgColor indexed="64"/>
      </patternFill>
    </fill>
    <fill>
      <patternFill patternType="solid">
        <fgColor rgb="FF00B0F0"/>
        <bgColor indexed="64"/>
      </patternFill>
    </fill>
    <fill>
      <patternFill patternType="solid">
        <fgColor theme="9" tint="0.39997558519241921"/>
        <bgColor indexed="64"/>
      </patternFill>
    </fill>
    <fill>
      <patternFill patternType="solid">
        <fgColor theme="0"/>
        <bgColor indexed="64"/>
      </patternFill>
    </fill>
    <fill>
      <patternFill patternType="solid">
        <fgColor rgb="FFFFFF00"/>
        <bgColor indexed="64"/>
      </patternFill>
    </fill>
    <fill>
      <patternFill patternType="solid">
        <fgColor theme="4" tint="0.59999389629810485"/>
        <bgColor indexed="64"/>
      </patternFill>
    </fill>
    <fill>
      <patternFill patternType="solid">
        <fgColor theme="0" tint="-4.9989318521683403E-2"/>
        <bgColor indexed="64"/>
      </patternFill>
    </fill>
  </fills>
  <borders count="39">
    <border>
      <left/>
      <right/>
      <top/>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diagonal/>
    </border>
    <border>
      <left style="medium">
        <color indexed="64"/>
      </left>
      <right style="medium">
        <color indexed="64"/>
      </right>
      <top/>
      <bottom style="thin">
        <color indexed="64"/>
      </bottom>
      <diagonal/>
    </border>
    <border>
      <left style="medium">
        <color indexed="64"/>
      </left>
      <right style="medium">
        <color indexed="64"/>
      </right>
      <top/>
      <bottom style="medium">
        <color indexed="64"/>
      </bottom>
      <diagonal/>
    </border>
    <border>
      <left/>
      <right style="thin">
        <color indexed="64"/>
      </right>
      <top/>
      <bottom style="thin">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hair">
        <color indexed="64"/>
      </left>
      <right/>
      <top style="thin">
        <color indexed="64"/>
      </top>
      <bottom style="hair">
        <color indexed="64"/>
      </bottom>
      <diagonal/>
    </border>
    <border>
      <left style="medium">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medium">
        <color indexed="64"/>
      </left>
      <right style="hair">
        <color indexed="64"/>
      </right>
      <top style="hair">
        <color indexed="64"/>
      </top>
      <bottom style="medium">
        <color indexed="64"/>
      </bottom>
      <diagonal/>
    </border>
    <border>
      <left style="hair">
        <color indexed="64"/>
      </left>
      <right style="medium">
        <color indexed="64"/>
      </right>
      <top style="hair">
        <color indexed="64"/>
      </top>
      <bottom style="hair">
        <color indexed="64"/>
      </bottom>
      <diagonal/>
    </border>
    <border>
      <left style="thin">
        <color indexed="64"/>
      </left>
      <right style="hair">
        <color indexed="64"/>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medium">
        <color indexed="64"/>
      </left>
      <right style="medium">
        <color indexed="64"/>
      </right>
      <top style="medium">
        <color indexed="64"/>
      </top>
      <bottom/>
      <diagonal/>
    </border>
    <border>
      <left/>
      <right style="thin">
        <color indexed="64"/>
      </right>
      <top style="thin">
        <color indexed="64"/>
      </top>
      <bottom/>
      <diagonal/>
    </border>
    <border>
      <left style="medium">
        <color indexed="64"/>
      </left>
      <right/>
      <top/>
      <bottom/>
      <diagonal/>
    </border>
    <border>
      <left/>
      <right/>
      <top/>
      <bottom style="thin">
        <color indexed="64"/>
      </bottom>
      <diagonal/>
    </border>
    <border>
      <left style="hair">
        <color indexed="64"/>
      </left>
      <right/>
      <top style="hair">
        <color indexed="64"/>
      </top>
      <bottom style="medium">
        <color indexed="64"/>
      </bottom>
      <diagonal/>
    </border>
    <border>
      <left/>
      <right style="medium">
        <color indexed="64"/>
      </right>
      <top style="hair">
        <color indexed="64"/>
      </top>
      <bottom style="medium">
        <color indexed="64"/>
      </bottom>
      <diagonal/>
    </border>
  </borders>
  <cellStyleXfs count="3">
    <xf numFmtId="0" fontId="0" fillId="0" borderId="0">
      <alignment vertical="center"/>
    </xf>
    <xf numFmtId="9" fontId="1" fillId="0" borderId="0" applyFont="0" applyFill="0" applyBorder="0" applyAlignment="0" applyProtection="0">
      <alignment vertical="center"/>
    </xf>
    <xf numFmtId="43" fontId="1" fillId="0" borderId="0" applyFont="0" applyFill="0" applyBorder="0" applyAlignment="0" applyProtection="0">
      <alignment vertical="center"/>
    </xf>
  </cellStyleXfs>
  <cellXfs count="233">
    <xf numFmtId="0" fontId="0" fillId="0" borderId="0" xfId="0">
      <alignment vertical="center"/>
    </xf>
    <xf numFmtId="0" fontId="3" fillId="0" borderId="0" xfId="0" applyFont="1" applyProtection="1">
      <alignment vertical="center"/>
    </xf>
    <xf numFmtId="0" fontId="7" fillId="0" borderId="0" xfId="0" applyFont="1" applyAlignment="1" applyProtection="1">
      <alignment horizontal="center"/>
    </xf>
    <xf numFmtId="0" fontId="7" fillId="0" borderId="0" xfId="0" applyFont="1" applyProtection="1">
      <alignment vertical="center"/>
    </xf>
    <xf numFmtId="4" fontId="8" fillId="0" borderId="0" xfId="0" applyNumberFormat="1" applyFont="1" applyFill="1" applyBorder="1" applyAlignment="1" applyProtection="1">
      <alignment horizontal="center"/>
    </xf>
    <xf numFmtId="0" fontId="8" fillId="2" borderId="1" xfId="0" applyFont="1" applyFill="1" applyBorder="1" applyAlignment="1" applyProtection="1">
      <alignment horizontal="center"/>
    </xf>
    <xf numFmtId="0" fontId="8" fillId="2" borderId="0" xfId="0" applyFont="1" applyFill="1" applyBorder="1" applyAlignment="1" applyProtection="1">
      <alignment horizontal="center"/>
    </xf>
    <xf numFmtId="4" fontId="8" fillId="2" borderId="0" xfId="0" applyNumberFormat="1" applyFont="1" applyFill="1" applyBorder="1" applyAlignment="1" applyProtection="1">
      <alignment horizontal="center"/>
    </xf>
    <xf numFmtId="0" fontId="7" fillId="0" borderId="0" xfId="0" applyFont="1" applyFill="1" applyAlignment="1" applyProtection="1">
      <alignment horizontal="center"/>
    </xf>
    <xf numFmtId="4" fontId="7" fillId="0" borderId="0" xfId="0" applyNumberFormat="1" applyFont="1" applyFill="1" applyBorder="1" applyAlignment="1" applyProtection="1">
      <alignment horizontal="right"/>
    </xf>
    <xf numFmtId="0" fontId="7" fillId="0" borderId="0" xfId="0" applyFont="1" applyBorder="1" applyAlignment="1" applyProtection="1">
      <alignment horizontal="center"/>
    </xf>
    <xf numFmtId="8" fontId="7" fillId="0" borderId="0" xfId="0" applyNumberFormat="1" applyFont="1" applyAlignment="1" applyProtection="1">
      <alignment horizontal="center"/>
    </xf>
    <xf numFmtId="0" fontId="4" fillId="0" borderId="0" xfId="0" applyNumberFormat="1" applyFont="1" applyFill="1" applyBorder="1" applyAlignment="1" applyProtection="1">
      <alignment horizontal="center"/>
    </xf>
    <xf numFmtId="0" fontId="7" fillId="0" borderId="0" xfId="0" applyNumberFormat="1" applyFont="1" applyFill="1" applyAlignment="1" applyProtection="1">
      <alignment horizontal="center"/>
    </xf>
    <xf numFmtId="14" fontId="7" fillId="0" borderId="0" xfId="2" applyNumberFormat="1" applyFont="1" applyFill="1" applyAlignment="1" applyProtection="1">
      <alignment horizontal="center"/>
    </xf>
    <xf numFmtId="14" fontId="7" fillId="0" borderId="0" xfId="2" applyNumberFormat="1" applyFont="1" applyFill="1" applyBorder="1" applyAlignment="1" applyProtection="1">
      <alignment horizontal="right"/>
    </xf>
    <xf numFmtId="0" fontId="8" fillId="2" borderId="2" xfId="0" applyFont="1" applyFill="1" applyBorder="1" applyAlignment="1" applyProtection="1">
      <alignment horizontal="center"/>
    </xf>
    <xf numFmtId="43" fontId="7" fillId="2" borderId="0" xfId="2" applyFont="1" applyFill="1" applyBorder="1" applyAlignment="1" applyProtection="1"/>
    <xf numFmtId="4" fontId="8" fillId="2" borderId="1" xfId="0" applyNumberFormat="1" applyFont="1" applyFill="1" applyBorder="1" applyAlignment="1" applyProtection="1">
      <alignment horizontal="center"/>
    </xf>
    <xf numFmtId="0" fontId="7" fillId="0" borderId="0" xfId="0" applyFont="1" applyAlignment="1" applyProtection="1">
      <alignment horizontal="center" vertical="center"/>
    </xf>
    <xf numFmtId="0" fontId="8" fillId="2" borderId="1" xfId="0" applyFont="1" applyFill="1" applyBorder="1" applyAlignment="1" applyProtection="1">
      <alignment horizontal="center" vertical="center"/>
    </xf>
    <xf numFmtId="0" fontId="6" fillId="0" borderId="0" xfId="0" applyFont="1" applyAlignment="1" applyProtection="1">
      <alignment horizontal="left" vertical="center"/>
    </xf>
    <xf numFmtId="0" fontId="6" fillId="0" borderId="0" xfId="0" applyFont="1" applyAlignment="1" applyProtection="1">
      <alignment vertical="center"/>
    </xf>
    <xf numFmtId="14" fontId="8" fillId="0" borderId="0" xfId="2" applyNumberFormat="1" applyFont="1" applyFill="1" applyBorder="1" applyAlignment="1" applyProtection="1">
      <alignment horizontal="center"/>
    </xf>
    <xf numFmtId="0" fontId="8" fillId="2" borderId="3" xfId="0" applyFont="1" applyFill="1" applyBorder="1" applyAlignment="1" applyProtection="1">
      <alignment horizontal="center" vertical="center"/>
    </xf>
    <xf numFmtId="4" fontId="8" fillId="2" borderId="3" xfId="0" applyNumberFormat="1" applyFont="1" applyFill="1" applyBorder="1" applyAlignment="1" applyProtection="1">
      <alignment horizontal="center"/>
    </xf>
    <xf numFmtId="4" fontId="8" fillId="2" borderId="4" xfId="0" applyNumberFormat="1" applyFont="1" applyFill="1" applyBorder="1" applyAlignment="1" applyProtection="1">
      <alignment horizontal="center"/>
    </xf>
    <xf numFmtId="0" fontId="2" fillId="2" borderId="4" xfId="0" applyFont="1" applyFill="1" applyBorder="1" applyAlignment="1" applyProtection="1">
      <alignment horizontal="center" vertical="center"/>
    </xf>
    <xf numFmtId="4" fontId="8" fillId="2" borderId="5" xfId="0" applyNumberFormat="1" applyFont="1" applyFill="1" applyBorder="1" applyAlignment="1" applyProtection="1">
      <alignment horizontal="center"/>
    </xf>
    <xf numFmtId="4" fontId="4" fillId="2" borderId="5" xfId="0" applyNumberFormat="1" applyFont="1" applyFill="1" applyBorder="1" applyAlignment="1" applyProtection="1"/>
    <xf numFmtId="0" fontId="7" fillId="0" borderId="0" xfId="0" applyNumberFormat="1" applyFont="1" applyFill="1" applyBorder="1" applyAlignment="1" applyProtection="1">
      <alignment horizontal="center"/>
    </xf>
    <xf numFmtId="0" fontId="10" fillId="2" borderId="6" xfId="0" applyFont="1" applyFill="1" applyBorder="1" applyAlignment="1" applyProtection="1">
      <alignment horizontal="right" vertical="center"/>
    </xf>
    <xf numFmtId="0" fontId="5" fillId="0" borderId="0" xfId="0" applyFont="1" applyBorder="1" applyAlignment="1" applyProtection="1">
      <alignment horizontal="center" vertical="center"/>
    </xf>
    <xf numFmtId="0" fontId="5" fillId="0" borderId="0" xfId="0" applyFont="1" applyFill="1" applyBorder="1" applyAlignment="1" applyProtection="1">
      <alignment horizontal="center" vertical="center"/>
    </xf>
    <xf numFmtId="43" fontId="11" fillId="0" borderId="0" xfId="2" applyFont="1" applyFill="1" applyBorder="1" applyAlignment="1" applyProtection="1">
      <alignment horizontal="right"/>
    </xf>
    <xf numFmtId="14" fontId="5" fillId="0" borderId="0" xfId="0" applyNumberFormat="1" applyFont="1" applyBorder="1" applyAlignment="1" applyProtection="1">
      <alignment horizontal="center" vertical="center"/>
    </xf>
    <xf numFmtId="4" fontId="7" fillId="2" borderId="2" xfId="0" applyNumberFormat="1" applyFont="1" applyFill="1" applyBorder="1" applyAlignment="1" applyProtection="1">
      <alignment horizontal="right"/>
    </xf>
    <xf numFmtId="0" fontId="5" fillId="2" borderId="4" xfId="0" applyFont="1" applyFill="1" applyBorder="1" applyAlignment="1" applyProtection="1">
      <alignment horizontal="center" vertical="center"/>
    </xf>
    <xf numFmtId="0" fontId="5" fillId="0" borderId="0" xfId="0" applyNumberFormat="1" applyFont="1" applyBorder="1" applyAlignment="1" applyProtection="1">
      <alignment horizontal="center" vertical="center"/>
    </xf>
    <xf numFmtId="43" fontId="12" fillId="3" borderId="1" xfId="2" applyFont="1" applyFill="1" applyBorder="1" applyAlignment="1" applyProtection="1">
      <alignment horizontal="center" vertical="center"/>
    </xf>
    <xf numFmtId="10" fontId="4" fillId="2" borderId="0" xfId="1" applyNumberFormat="1" applyFont="1" applyFill="1" applyBorder="1" applyAlignment="1" applyProtection="1">
      <alignment horizontal="center"/>
    </xf>
    <xf numFmtId="43" fontId="7" fillId="3" borderId="0" xfId="2" applyFont="1" applyFill="1" applyBorder="1" applyAlignment="1" applyProtection="1"/>
    <xf numFmtId="43" fontId="7" fillId="2" borderId="5" xfId="2" applyFont="1" applyFill="1" applyBorder="1" applyAlignment="1" applyProtection="1">
      <alignment horizontal="right"/>
    </xf>
    <xf numFmtId="4" fontId="7" fillId="3" borderId="1" xfId="0" applyNumberFormat="1" applyFont="1" applyFill="1" applyBorder="1" applyAlignment="1" applyProtection="1">
      <alignment horizontal="right"/>
    </xf>
    <xf numFmtId="4" fontId="7" fillId="2" borderId="4" xfId="0" applyNumberFormat="1" applyFont="1" applyFill="1" applyBorder="1" applyAlignment="1" applyProtection="1">
      <alignment horizontal="center"/>
    </xf>
    <xf numFmtId="4" fontId="7" fillId="3" borderId="0" xfId="0" applyNumberFormat="1" applyFont="1" applyFill="1" applyBorder="1" applyAlignment="1" applyProtection="1">
      <alignment horizontal="right"/>
    </xf>
    <xf numFmtId="176" fontId="4" fillId="2" borderId="0" xfId="0" applyNumberFormat="1" applyFont="1" applyFill="1" applyBorder="1" applyAlignment="1" applyProtection="1">
      <alignment horizontal="right"/>
    </xf>
    <xf numFmtId="14" fontId="7" fillId="3" borderId="0" xfId="0" applyNumberFormat="1" applyFont="1" applyFill="1" applyBorder="1" applyAlignment="1" applyProtection="1">
      <alignment horizontal="right"/>
    </xf>
    <xf numFmtId="43" fontId="4" fillId="0" borderId="0" xfId="0" applyNumberFormat="1" applyFont="1" applyFill="1" applyBorder="1" applyAlignment="1" applyProtection="1">
      <alignment horizontal="center"/>
    </xf>
    <xf numFmtId="14" fontId="7" fillId="0" borderId="2" xfId="0" applyNumberFormat="1" applyFont="1" applyFill="1" applyBorder="1" applyAlignment="1" applyProtection="1">
      <alignment horizontal="center"/>
    </xf>
    <xf numFmtId="0" fontId="7" fillId="0" borderId="2" xfId="0" applyFont="1" applyBorder="1" applyAlignment="1" applyProtection="1">
      <alignment horizontal="center"/>
    </xf>
    <xf numFmtId="4" fontId="7" fillId="0" borderId="2" xfId="0" applyNumberFormat="1" applyFont="1" applyBorder="1" applyAlignment="1" applyProtection="1">
      <alignment horizontal="right"/>
    </xf>
    <xf numFmtId="4" fontId="7" fillId="0" borderId="7" xfId="0" applyNumberFormat="1" applyFont="1" applyBorder="1" applyAlignment="1" applyProtection="1">
      <alignment horizontal="right"/>
    </xf>
    <xf numFmtId="43" fontId="7" fillId="0" borderId="0" xfId="0" applyNumberFormat="1" applyFont="1" applyFill="1" applyBorder="1" applyAlignment="1" applyProtection="1">
      <alignment horizontal="center"/>
    </xf>
    <xf numFmtId="179" fontId="4" fillId="0" borderId="0" xfId="0" applyNumberFormat="1" applyFont="1" applyFill="1" applyBorder="1" applyAlignment="1" applyProtection="1">
      <alignment horizontal="center"/>
    </xf>
    <xf numFmtId="179" fontId="7" fillId="0" borderId="0" xfId="1" applyNumberFormat="1" applyFont="1" applyFill="1" applyBorder="1" applyAlignment="1" applyProtection="1">
      <alignment horizontal="center"/>
    </xf>
    <xf numFmtId="4" fontId="7" fillId="0" borderId="2" xfId="0" applyNumberFormat="1" applyFont="1" applyFill="1" applyBorder="1" applyAlignment="1" applyProtection="1">
      <alignment horizontal="right"/>
    </xf>
    <xf numFmtId="14" fontId="8" fillId="2" borderId="8" xfId="0" applyNumberFormat="1" applyFont="1" applyFill="1" applyBorder="1" applyAlignment="1" applyProtection="1">
      <alignment horizontal="center" vertical="center"/>
    </xf>
    <xf numFmtId="176" fontId="4" fillId="0" borderId="0" xfId="0" applyNumberFormat="1" applyFont="1" applyFill="1" applyBorder="1" applyAlignment="1" applyProtection="1">
      <alignment horizontal="center"/>
    </xf>
    <xf numFmtId="0" fontId="3" fillId="0" borderId="0" xfId="0" applyFont="1" applyBorder="1" applyProtection="1">
      <alignment vertical="center"/>
    </xf>
    <xf numFmtId="0" fontId="7" fillId="0" borderId="0" xfId="0" applyFont="1" applyBorder="1" applyAlignment="1" applyProtection="1">
      <alignment horizontal="center" vertical="center"/>
    </xf>
    <xf numFmtId="10" fontId="4" fillId="2" borderId="0" xfId="1" applyNumberFormat="1" applyFont="1" applyFill="1" applyBorder="1" applyAlignment="1" applyProtection="1">
      <alignment horizontal="right"/>
    </xf>
    <xf numFmtId="0" fontId="7" fillId="0" borderId="0" xfId="0" applyFont="1" applyBorder="1" applyProtection="1">
      <alignment vertical="center"/>
    </xf>
    <xf numFmtId="0" fontId="8" fillId="2" borderId="0" xfId="0" applyFont="1" applyFill="1" applyBorder="1" applyAlignment="1" applyProtection="1">
      <alignment horizontal="center" vertical="center"/>
    </xf>
    <xf numFmtId="14" fontId="7" fillId="0" borderId="0" xfId="0" applyNumberFormat="1" applyFont="1" applyBorder="1" applyAlignment="1" applyProtection="1">
      <alignment horizontal="center"/>
    </xf>
    <xf numFmtId="4" fontId="7" fillId="0" borderId="0" xfId="0" applyNumberFormat="1" applyFont="1" applyBorder="1" applyAlignment="1" applyProtection="1">
      <alignment horizontal="center"/>
    </xf>
    <xf numFmtId="10" fontId="7" fillId="0" borderId="0" xfId="0" applyNumberFormat="1" applyFont="1" applyAlignment="1" applyProtection="1">
      <alignment horizontal="center"/>
    </xf>
    <xf numFmtId="176" fontId="5" fillId="0" borderId="0" xfId="0" applyNumberFormat="1" applyFont="1" applyBorder="1" applyAlignment="1" applyProtection="1">
      <alignment horizontal="center" vertical="center"/>
    </xf>
    <xf numFmtId="10" fontId="7" fillId="0" borderId="0" xfId="0" applyNumberFormat="1" applyFont="1" applyBorder="1" applyAlignment="1" applyProtection="1">
      <alignment horizontal="center"/>
    </xf>
    <xf numFmtId="14" fontId="14" fillId="0" borderId="0" xfId="2" applyNumberFormat="1" applyFont="1" applyFill="1" applyAlignment="1" applyProtection="1">
      <alignment horizontal="right"/>
    </xf>
    <xf numFmtId="0" fontId="8" fillId="2" borderId="7" xfId="0" applyFont="1" applyFill="1" applyBorder="1" applyAlignment="1" applyProtection="1">
      <alignment horizontal="center"/>
    </xf>
    <xf numFmtId="0" fontId="8" fillId="0" borderId="9" xfId="0" applyFont="1" applyBorder="1" applyAlignment="1" applyProtection="1">
      <alignment horizontal="center" vertical="center"/>
    </xf>
    <xf numFmtId="43" fontId="5" fillId="0" borderId="10" xfId="0" applyNumberFormat="1" applyFont="1" applyBorder="1" applyProtection="1">
      <alignment vertical="center"/>
    </xf>
    <xf numFmtId="43" fontId="5" fillId="0" borderId="11" xfId="0" applyNumberFormat="1" applyFont="1" applyBorder="1" applyProtection="1">
      <alignment vertical="center"/>
    </xf>
    <xf numFmtId="10" fontId="8" fillId="0" borderId="12" xfId="1" applyNumberFormat="1" applyFont="1" applyFill="1" applyBorder="1" applyAlignment="1" applyProtection="1">
      <alignment horizontal="center"/>
    </xf>
    <xf numFmtId="43" fontId="5" fillId="0" borderId="11" xfId="2" applyFont="1" applyFill="1" applyBorder="1" applyAlignment="1" applyProtection="1">
      <alignment horizontal="center"/>
    </xf>
    <xf numFmtId="10" fontId="8" fillId="0" borderId="13" xfId="1" applyNumberFormat="1" applyFont="1" applyFill="1" applyBorder="1" applyAlignment="1" applyProtection="1">
      <alignment horizontal="center"/>
    </xf>
    <xf numFmtId="14" fontId="8" fillId="0" borderId="0" xfId="0" applyNumberFormat="1" applyFont="1" applyFill="1" applyBorder="1" applyAlignment="1" applyProtection="1">
      <alignment horizontal="center"/>
    </xf>
    <xf numFmtId="10" fontId="4" fillId="2" borderId="14" xfId="1" applyNumberFormat="1" applyFont="1" applyFill="1" applyBorder="1" applyAlignment="1" applyProtection="1">
      <alignment horizontal="center"/>
    </xf>
    <xf numFmtId="43" fontId="0" fillId="0" borderId="0" xfId="0" applyNumberFormat="1">
      <alignment vertical="center"/>
    </xf>
    <xf numFmtId="0" fontId="9" fillId="0" borderId="0" xfId="0" applyFont="1" applyAlignment="1" applyProtection="1">
      <alignment vertical="center"/>
    </xf>
    <xf numFmtId="176" fontId="7" fillId="0" borderId="0" xfId="0" applyNumberFormat="1" applyFont="1" applyAlignment="1" applyProtection="1">
      <alignment horizontal="center"/>
    </xf>
    <xf numFmtId="0" fontId="8" fillId="2" borderId="2" xfId="0" applyFont="1" applyFill="1" applyBorder="1" applyAlignment="1" applyProtection="1">
      <alignment horizontal="center" vertical="center"/>
    </xf>
    <xf numFmtId="14" fontId="8" fillId="2" borderId="7" xfId="0" applyNumberFormat="1" applyFont="1" applyFill="1" applyBorder="1" applyAlignment="1" applyProtection="1">
      <alignment horizontal="center" vertical="center"/>
    </xf>
    <xf numFmtId="14" fontId="7" fillId="0" borderId="2" xfId="0" applyNumberFormat="1" applyFont="1" applyBorder="1" applyAlignment="1" applyProtection="1">
      <alignment horizontal="center"/>
    </xf>
    <xf numFmtId="4" fontId="7" fillId="0" borderId="2" xfId="0" applyNumberFormat="1" applyFont="1" applyBorder="1" applyAlignment="1" applyProtection="1">
      <alignment horizontal="center"/>
    </xf>
    <xf numFmtId="10" fontId="8" fillId="2" borderId="2" xfId="1" applyNumberFormat="1" applyFont="1" applyFill="1" applyBorder="1" applyAlignment="1" applyProtection="1">
      <alignment horizontal="center" vertical="center"/>
    </xf>
    <xf numFmtId="10" fontId="7" fillId="3" borderId="2" xfId="1" applyNumberFormat="1" applyFont="1" applyFill="1" applyBorder="1" applyAlignment="1" applyProtection="1">
      <alignment horizontal="center"/>
    </xf>
    <xf numFmtId="178" fontId="8" fillId="2" borderId="2" xfId="0" applyNumberFormat="1" applyFont="1" applyFill="1" applyBorder="1" applyAlignment="1" applyProtection="1">
      <alignment horizontal="left" vertical="center" wrapText="1"/>
    </xf>
    <xf numFmtId="0" fontId="0" fillId="0" borderId="2" xfId="0" applyBorder="1">
      <alignment vertical="center"/>
    </xf>
    <xf numFmtId="10" fontId="7" fillId="3" borderId="0" xfId="1" applyNumberFormat="1" applyFont="1" applyFill="1" applyBorder="1" applyAlignment="1" applyProtection="1">
      <alignment horizontal="right"/>
    </xf>
    <xf numFmtId="43" fontId="7" fillId="3" borderId="1" xfId="0" applyNumberFormat="1" applyFont="1" applyFill="1" applyBorder="1" applyAlignment="1" applyProtection="1">
      <alignment horizontal="right"/>
    </xf>
    <xf numFmtId="43" fontId="7" fillId="3" borderId="0" xfId="0" applyNumberFormat="1" applyFont="1" applyFill="1" applyBorder="1" applyAlignment="1" applyProtection="1">
      <alignment horizontal="right"/>
    </xf>
    <xf numFmtId="43" fontId="13" fillId="3" borderId="1" xfId="2" applyFont="1" applyFill="1" applyBorder="1" applyAlignment="1" applyProtection="1">
      <alignment horizontal="center" vertical="center"/>
    </xf>
    <xf numFmtId="43" fontId="8" fillId="2" borderId="1" xfId="0" applyNumberFormat="1" applyFont="1" applyFill="1" applyBorder="1" applyAlignment="1" applyProtection="1">
      <alignment horizontal="center" vertical="center"/>
    </xf>
    <xf numFmtId="0" fontId="32" fillId="0" borderId="0" xfId="0" applyFont="1">
      <alignment vertical="center"/>
    </xf>
    <xf numFmtId="10" fontId="7" fillId="4" borderId="2" xfId="1" applyNumberFormat="1" applyFont="1" applyFill="1" applyBorder="1" applyAlignment="1" applyProtection="1">
      <alignment horizontal="center"/>
    </xf>
    <xf numFmtId="176" fontId="33" fillId="0" borderId="0" xfId="0" applyNumberFormat="1" applyFont="1" applyFill="1" applyBorder="1" applyAlignment="1" applyProtection="1">
      <alignment horizontal="center" vertical="center" wrapText="1"/>
    </xf>
    <xf numFmtId="0" fontId="9" fillId="0" borderId="0" xfId="0" applyFont="1" applyAlignment="1" applyProtection="1">
      <alignment horizontal="right" vertical="center"/>
    </xf>
    <xf numFmtId="14" fontId="16" fillId="0" borderId="0" xfId="0" applyNumberFormat="1" applyFont="1" applyAlignment="1" applyProtection="1">
      <alignment horizontal="left" vertical="center"/>
    </xf>
    <xf numFmtId="0" fontId="8" fillId="0" borderId="2" xfId="0" applyFont="1" applyFill="1" applyBorder="1" applyAlignment="1" applyProtection="1">
      <alignment horizontal="center" vertical="center"/>
    </xf>
    <xf numFmtId="10" fontId="8" fillId="2" borderId="7" xfId="1" applyNumberFormat="1" applyFont="1" applyFill="1" applyBorder="1" applyAlignment="1" applyProtection="1">
      <alignment horizontal="center" vertical="center"/>
    </xf>
    <xf numFmtId="10" fontId="7" fillId="3" borderId="7" xfId="1" applyNumberFormat="1" applyFont="1" applyFill="1" applyBorder="1" applyAlignment="1" applyProtection="1">
      <alignment horizontal="center"/>
    </xf>
    <xf numFmtId="10" fontId="7" fillId="4" borderId="7" xfId="1" applyNumberFormat="1" applyFont="1" applyFill="1" applyBorder="1" applyAlignment="1" applyProtection="1">
      <alignment horizontal="center"/>
    </xf>
    <xf numFmtId="0" fontId="8" fillId="2" borderId="7" xfId="0" applyFont="1" applyFill="1" applyBorder="1" applyAlignment="1" applyProtection="1">
      <alignment horizontal="center" vertical="center"/>
    </xf>
    <xf numFmtId="0" fontId="8" fillId="2" borderId="15" xfId="0" applyFont="1" applyFill="1" applyBorder="1" applyAlignment="1" applyProtection="1">
      <alignment horizontal="center" vertical="center"/>
    </xf>
    <xf numFmtId="0" fontId="8" fillId="5" borderId="16" xfId="0" applyFont="1" applyFill="1" applyBorder="1" applyAlignment="1" applyProtection="1">
      <alignment horizontal="center" vertical="center"/>
    </xf>
    <xf numFmtId="0" fontId="5" fillId="0" borderId="0" xfId="0" applyFont="1" applyBorder="1" applyAlignment="1" applyProtection="1">
      <alignment horizontal="center"/>
    </xf>
    <xf numFmtId="176" fontId="7" fillId="0" borderId="2" xfId="2" applyNumberFormat="1" applyFont="1" applyBorder="1" applyAlignment="1" applyProtection="1">
      <alignment horizontal="center"/>
    </xf>
    <xf numFmtId="0" fontId="8" fillId="6" borderId="17" xfId="0" applyFont="1" applyFill="1" applyBorder="1" applyAlignment="1" applyProtection="1">
      <alignment horizontal="center" vertical="center"/>
    </xf>
    <xf numFmtId="0" fontId="15" fillId="0" borderId="0" xfId="0" applyFont="1">
      <alignment vertical="center"/>
    </xf>
    <xf numFmtId="10" fontId="34" fillId="2" borderId="5" xfId="1" applyNumberFormat="1" applyFont="1" applyFill="1" applyBorder="1" applyAlignment="1" applyProtection="1">
      <alignment horizontal="right"/>
    </xf>
    <xf numFmtId="0" fontId="3" fillId="0" borderId="0" xfId="0" applyFont="1" applyAlignment="1" applyProtection="1">
      <alignment vertical="center"/>
    </xf>
    <xf numFmtId="14" fontId="8" fillId="0" borderId="0" xfId="0" applyNumberFormat="1" applyFont="1" applyFill="1" applyBorder="1" applyAlignment="1" applyProtection="1">
      <alignment horizontal="center" vertical="center"/>
    </xf>
    <xf numFmtId="4" fontId="8" fillId="0" borderId="0" xfId="0" applyNumberFormat="1" applyFont="1" applyFill="1" applyBorder="1" applyAlignment="1" applyProtection="1">
      <alignment horizontal="center" vertical="center"/>
    </xf>
    <xf numFmtId="14" fontId="8" fillId="0" borderId="0" xfId="2" applyNumberFormat="1" applyFont="1" applyFill="1" applyBorder="1" applyAlignment="1" applyProtection="1">
      <alignment horizontal="center" vertical="center"/>
    </xf>
    <xf numFmtId="0" fontId="4" fillId="0" borderId="0" xfId="0" applyNumberFormat="1" applyFont="1" applyFill="1" applyBorder="1" applyAlignment="1" applyProtection="1">
      <alignment horizontal="center" vertical="center"/>
    </xf>
    <xf numFmtId="0" fontId="3" fillId="0" borderId="0" xfId="0" applyFont="1" applyBorder="1" applyAlignment="1" applyProtection="1">
      <alignment vertical="center"/>
    </xf>
    <xf numFmtId="43" fontId="7" fillId="2" borderId="0" xfId="2" applyFont="1" applyFill="1" applyBorder="1" applyAlignment="1" applyProtection="1">
      <alignment vertical="center"/>
    </xf>
    <xf numFmtId="10" fontId="4" fillId="2" borderId="0" xfId="1" applyNumberFormat="1" applyFont="1" applyFill="1" applyBorder="1" applyAlignment="1" applyProtection="1">
      <alignment horizontal="center" vertical="center"/>
    </xf>
    <xf numFmtId="4" fontId="8" fillId="2" borderId="5" xfId="0" applyNumberFormat="1" applyFont="1" applyFill="1" applyBorder="1" applyAlignment="1" applyProtection="1">
      <alignment horizontal="center" vertical="center"/>
    </xf>
    <xf numFmtId="0" fontId="7" fillId="0" borderId="0" xfId="0" applyFont="1" applyAlignment="1" applyProtection="1">
      <alignment vertical="center"/>
    </xf>
    <xf numFmtId="4" fontId="5" fillId="2" borderId="0" xfId="0" applyNumberFormat="1" applyFont="1" applyFill="1" applyBorder="1" applyAlignment="1" applyProtection="1">
      <alignment horizontal="center" vertical="center"/>
    </xf>
    <xf numFmtId="10" fontId="7" fillId="2" borderId="0" xfId="1" applyNumberFormat="1" applyFont="1" applyFill="1" applyBorder="1" applyAlignment="1" applyProtection="1">
      <alignment horizontal="right" vertical="center"/>
    </xf>
    <xf numFmtId="0" fontId="7" fillId="0" borderId="0" xfId="0" applyFont="1" applyBorder="1" applyAlignment="1" applyProtection="1">
      <alignment vertical="center"/>
    </xf>
    <xf numFmtId="43" fontId="7" fillId="3" borderId="0" xfId="2" applyFont="1" applyFill="1" applyBorder="1" applyAlignment="1" applyProtection="1">
      <alignment vertical="center"/>
    </xf>
    <xf numFmtId="43" fontId="7" fillId="2" borderId="5" xfId="2" applyFont="1" applyFill="1" applyBorder="1" applyAlignment="1" applyProtection="1">
      <alignment horizontal="right" vertical="center"/>
    </xf>
    <xf numFmtId="43" fontId="11" fillId="0" borderId="0" xfId="2" applyFont="1" applyFill="1" applyBorder="1" applyAlignment="1" applyProtection="1">
      <alignment horizontal="right" vertical="center"/>
    </xf>
    <xf numFmtId="4" fontId="8" fillId="2" borderId="3" xfId="0" applyNumberFormat="1" applyFont="1" applyFill="1" applyBorder="1" applyAlignment="1" applyProtection="1">
      <alignment horizontal="center" vertical="center"/>
    </xf>
    <xf numFmtId="4" fontId="8" fillId="2" borderId="1" xfId="0" applyNumberFormat="1" applyFont="1" applyFill="1" applyBorder="1" applyAlignment="1" applyProtection="1">
      <alignment horizontal="center" vertical="center"/>
    </xf>
    <xf numFmtId="4" fontId="7" fillId="3" borderId="1" xfId="0" applyNumberFormat="1" applyFont="1" applyFill="1" applyBorder="1" applyAlignment="1" applyProtection="1">
      <alignment horizontal="right" vertical="center"/>
    </xf>
    <xf numFmtId="178" fontId="7" fillId="3" borderId="1" xfId="0" applyNumberFormat="1" applyFont="1" applyFill="1" applyBorder="1" applyAlignment="1" applyProtection="1">
      <alignment horizontal="right" vertical="center"/>
    </xf>
    <xf numFmtId="4" fontId="7" fillId="2" borderId="4" xfId="0" applyNumberFormat="1" applyFont="1" applyFill="1" applyBorder="1" applyAlignment="1" applyProtection="1">
      <alignment horizontal="center" vertical="center"/>
    </xf>
    <xf numFmtId="4" fontId="8" fillId="2" borderId="0" xfId="0" applyNumberFormat="1" applyFont="1" applyFill="1" applyBorder="1" applyAlignment="1" applyProtection="1">
      <alignment horizontal="center" vertical="center"/>
    </xf>
    <xf numFmtId="4" fontId="7" fillId="3" borderId="0" xfId="0" applyNumberFormat="1" applyFont="1" applyFill="1" applyBorder="1" applyAlignment="1" applyProtection="1">
      <alignment horizontal="right" vertical="center"/>
    </xf>
    <xf numFmtId="10" fontId="7" fillId="3" borderId="0" xfId="0" applyNumberFormat="1" applyFont="1" applyFill="1" applyBorder="1" applyAlignment="1" applyProtection="1">
      <alignment horizontal="right" vertical="center"/>
    </xf>
    <xf numFmtId="43" fontId="5" fillId="0" borderId="10" xfId="0" applyNumberFormat="1" applyFont="1" applyBorder="1" applyAlignment="1" applyProtection="1">
      <alignment vertical="center"/>
    </xf>
    <xf numFmtId="4" fontId="8" fillId="2" borderId="4" xfId="0" applyNumberFormat="1" applyFont="1" applyFill="1" applyBorder="1" applyAlignment="1" applyProtection="1">
      <alignment horizontal="center" vertical="center"/>
    </xf>
    <xf numFmtId="0" fontId="7" fillId="3" borderId="0" xfId="0" applyFont="1" applyFill="1" applyBorder="1" applyAlignment="1" applyProtection="1">
      <alignment horizontal="right" vertical="center"/>
    </xf>
    <xf numFmtId="4" fontId="4" fillId="2" borderId="5" xfId="0" applyNumberFormat="1" applyFont="1" applyFill="1" applyBorder="1" applyAlignment="1" applyProtection="1">
      <alignment vertical="center"/>
    </xf>
    <xf numFmtId="43" fontId="5" fillId="0" borderId="11" xfId="0" applyNumberFormat="1" applyFont="1" applyBorder="1" applyAlignment="1" applyProtection="1">
      <alignment vertical="center"/>
    </xf>
    <xf numFmtId="10" fontId="7" fillId="0" borderId="0" xfId="0" applyNumberFormat="1" applyFont="1" applyBorder="1" applyAlignment="1" applyProtection="1">
      <alignment horizontal="center" vertical="center"/>
    </xf>
    <xf numFmtId="176" fontId="4" fillId="2" borderId="0" xfId="0" applyNumberFormat="1" applyFont="1" applyFill="1" applyBorder="1" applyAlignment="1" applyProtection="1">
      <alignment horizontal="right" vertical="center"/>
    </xf>
    <xf numFmtId="10" fontId="4" fillId="2" borderId="5" xfId="1" applyNumberFormat="1" applyFont="1" applyFill="1" applyBorder="1" applyAlignment="1" applyProtection="1">
      <alignment horizontal="right" vertical="center"/>
    </xf>
    <xf numFmtId="10" fontId="8" fillId="0" borderId="12" xfId="1" applyNumberFormat="1" applyFont="1" applyFill="1" applyBorder="1" applyAlignment="1" applyProtection="1">
      <alignment horizontal="center" vertical="center"/>
    </xf>
    <xf numFmtId="43" fontId="5" fillId="0" borderId="11" xfId="2" applyFont="1" applyFill="1" applyBorder="1" applyAlignment="1" applyProtection="1">
      <alignment horizontal="center" vertical="center"/>
    </xf>
    <xf numFmtId="8" fontId="7" fillId="0" borderId="0" xfId="0" applyNumberFormat="1" applyFont="1" applyAlignment="1" applyProtection="1">
      <alignment horizontal="center" vertical="center"/>
    </xf>
    <xf numFmtId="14" fontId="7" fillId="3" borderId="0" xfId="0" applyNumberFormat="1" applyFont="1" applyFill="1" applyBorder="1" applyAlignment="1" applyProtection="1">
      <alignment horizontal="right" vertical="center"/>
    </xf>
    <xf numFmtId="10" fontId="34" fillId="2" borderId="5" xfId="1" applyNumberFormat="1" applyFont="1" applyFill="1" applyBorder="1" applyAlignment="1" applyProtection="1">
      <alignment horizontal="right" vertical="center"/>
    </xf>
    <xf numFmtId="10" fontId="8" fillId="0" borderId="13" xfId="1" applyNumberFormat="1" applyFont="1" applyFill="1" applyBorder="1" applyAlignment="1" applyProtection="1">
      <alignment horizontal="center" vertical="center"/>
    </xf>
    <xf numFmtId="14" fontId="7" fillId="0" borderId="0" xfId="0" applyNumberFormat="1" applyFont="1" applyBorder="1" applyAlignment="1" applyProtection="1">
      <alignment horizontal="center" vertical="center"/>
    </xf>
    <xf numFmtId="4" fontId="7" fillId="0" borderId="0" xfId="0" applyNumberFormat="1" applyFont="1" applyBorder="1" applyAlignment="1" applyProtection="1">
      <alignment horizontal="center" vertical="center"/>
    </xf>
    <xf numFmtId="176" fontId="7" fillId="0" borderId="0" xfId="0" applyNumberFormat="1" applyFont="1" applyBorder="1" applyAlignment="1" applyProtection="1">
      <alignment horizontal="center" vertical="center"/>
    </xf>
    <xf numFmtId="4" fontId="7" fillId="2" borderId="2" xfId="0" applyNumberFormat="1" applyFont="1" applyFill="1" applyBorder="1" applyAlignment="1" applyProtection="1">
      <alignment horizontal="right" vertical="center"/>
    </xf>
    <xf numFmtId="4" fontId="7" fillId="0" borderId="2" xfId="0" applyNumberFormat="1" applyFont="1" applyFill="1" applyBorder="1" applyAlignment="1" applyProtection="1">
      <alignment horizontal="right" vertical="center"/>
    </xf>
    <xf numFmtId="4" fontId="7" fillId="0" borderId="0" xfId="0" applyNumberFormat="1" applyFont="1" applyFill="1" applyBorder="1" applyAlignment="1" applyProtection="1">
      <alignment horizontal="right" vertical="center"/>
    </xf>
    <xf numFmtId="14" fontId="14" fillId="0" borderId="0" xfId="2" applyNumberFormat="1" applyFont="1" applyFill="1" applyAlignment="1" applyProtection="1">
      <alignment horizontal="right" vertical="center"/>
    </xf>
    <xf numFmtId="14" fontId="7" fillId="0" borderId="0" xfId="2" applyNumberFormat="1" applyFont="1" applyFill="1" applyBorder="1" applyAlignment="1" applyProtection="1">
      <alignment horizontal="right" vertical="center"/>
    </xf>
    <xf numFmtId="0" fontId="7" fillId="0" borderId="0" xfId="0" applyNumberFormat="1" applyFont="1" applyFill="1" applyBorder="1" applyAlignment="1" applyProtection="1">
      <alignment horizontal="center" vertical="center"/>
    </xf>
    <xf numFmtId="43" fontId="4" fillId="0" borderId="0" xfId="0" applyNumberFormat="1" applyFont="1" applyFill="1" applyBorder="1" applyAlignment="1" applyProtection="1">
      <alignment horizontal="center" vertical="center"/>
    </xf>
    <xf numFmtId="14" fontId="7" fillId="0" borderId="2" xfId="0" applyNumberFormat="1" applyFont="1" applyFill="1" applyBorder="1" applyAlignment="1" applyProtection="1">
      <alignment horizontal="center" vertical="center"/>
    </xf>
    <xf numFmtId="0" fontId="7" fillId="0" borderId="2" xfId="0" applyFont="1" applyBorder="1" applyAlignment="1" applyProtection="1">
      <alignment horizontal="center" vertical="center"/>
    </xf>
    <xf numFmtId="4" fontId="7" fillId="0" borderId="2" xfId="0" applyNumberFormat="1" applyFont="1" applyBorder="1" applyAlignment="1" applyProtection="1">
      <alignment horizontal="right" vertical="center"/>
    </xf>
    <xf numFmtId="4" fontId="7" fillId="0" borderId="7" xfId="0" applyNumberFormat="1" applyFont="1" applyBorder="1" applyAlignment="1" applyProtection="1">
      <alignment horizontal="right" vertical="center"/>
    </xf>
    <xf numFmtId="43" fontId="7" fillId="0" borderId="0" xfId="0" applyNumberFormat="1" applyFont="1" applyFill="1" applyBorder="1" applyAlignment="1" applyProtection="1">
      <alignment horizontal="center" vertical="center"/>
    </xf>
    <xf numFmtId="179" fontId="4" fillId="0" borderId="0" xfId="0" applyNumberFormat="1" applyFont="1" applyFill="1" applyBorder="1" applyAlignment="1" applyProtection="1">
      <alignment horizontal="center" vertical="center"/>
    </xf>
    <xf numFmtId="179" fontId="7" fillId="0" borderId="0" xfId="1" applyNumberFormat="1" applyFont="1" applyFill="1" applyBorder="1" applyAlignment="1" applyProtection="1">
      <alignment horizontal="center" vertical="center"/>
    </xf>
    <xf numFmtId="0" fontId="7" fillId="0" borderId="0" xfId="0" applyFont="1" applyFill="1" applyAlignment="1" applyProtection="1">
      <alignment horizontal="center" vertical="center"/>
    </xf>
    <xf numFmtId="14" fontId="7" fillId="0" borderId="0" xfId="2" applyNumberFormat="1" applyFont="1" applyFill="1" applyAlignment="1" applyProtection="1">
      <alignment horizontal="center" vertical="center"/>
    </xf>
    <xf numFmtId="0" fontId="7" fillId="0" borderId="0" xfId="0" applyNumberFormat="1" applyFont="1" applyFill="1" applyAlignment="1" applyProtection="1">
      <alignment horizontal="center" vertical="center"/>
    </xf>
    <xf numFmtId="0" fontId="31" fillId="0" borderId="0" xfId="0" applyFont="1" applyFill="1" applyAlignment="1" applyProtection="1">
      <alignment horizontal="center" vertical="center"/>
    </xf>
    <xf numFmtId="0" fontId="3" fillId="0" borderId="0" xfId="0" applyFont="1" applyFill="1" applyAlignment="1" applyProtection="1">
      <alignment horizontal="left" vertical="center"/>
    </xf>
    <xf numFmtId="10" fontId="0" fillId="0" borderId="0" xfId="1" applyNumberFormat="1" applyFont="1">
      <alignment vertical="center"/>
    </xf>
    <xf numFmtId="0" fontId="35" fillId="6" borderId="18" xfId="0" applyFont="1" applyFill="1" applyBorder="1" applyAlignment="1">
      <alignment horizontal="center" vertical="center"/>
    </xf>
    <xf numFmtId="0" fontId="35" fillId="6" borderId="19" xfId="0" applyFont="1" applyFill="1" applyBorder="1" applyAlignment="1">
      <alignment horizontal="center" vertical="center"/>
    </xf>
    <xf numFmtId="0" fontId="35" fillId="6" borderId="20" xfId="0" applyFont="1" applyFill="1" applyBorder="1" applyAlignment="1">
      <alignment horizontal="center" vertical="center"/>
    </xf>
    <xf numFmtId="0" fontId="17" fillId="7" borderId="21" xfId="0" applyFont="1" applyFill="1" applyBorder="1" applyAlignment="1" applyProtection="1">
      <alignment horizontal="center" vertical="center"/>
    </xf>
    <xf numFmtId="0" fontId="18" fillId="8" borderId="22" xfId="0" applyFont="1" applyFill="1" applyBorder="1" applyAlignment="1" applyProtection="1">
      <alignment horizontal="center" vertical="center"/>
    </xf>
    <xf numFmtId="0" fontId="20" fillId="8" borderId="23" xfId="0" applyFont="1" applyFill="1" applyBorder="1" applyAlignment="1">
      <alignment horizontal="center" vertical="center" wrapText="1"/>
    </xf>
    <xf numFmtId="0" fontId="17" fillId="5" borderId="21" xfId="0" applyFont="1" applyFill="1" applyBorder="1" applyAlignment="1" applyProtection="1">
      <alignment horizontal="center" vertical="center"/>
    </xf>
    <xf numFmtId="0" fontId="36" fillId="8" borderId="24" xfId="0" applyFont="1" applyFill="1" applyBorder="1" applyAlignment="1">
      <alignment horizontal="center" vertical="center"/>
    </xf>
    <xf numFmtId="0" fontId="0" fillId="0" borderId="0" xfId="0" applyProtection="1">
      <alignment vertical="center"/>
      <protection locked="0"/>
    </xf>
    <xf numFmtId="0" fontId="0" fillId="0" borderId="0" xfId="0" applyProtection="1">
      <alignment vertical="center"/>
    </xf>
    <xf numFmtId="0" fontId="8" fillId="9" borderId="25" xfId="0" applyFont="1" applyFill="1" applyBorder="1" applyProtection="1">
      <alignment vertical="center"/>
    </xf>
    <xf numFmtId="0" fontId="8" fillId="9" borderId="15" xfId="0" applyFont="1" applyFill="1" applyBorder="1" applyProtection="1">
      <alignment vertical="center"/>
    </xf>
    <xf numFmtId="180" fontId="5" fillId="0" borderId="26" xfId="2" applyNumberFormat="1" applyFont="1" applyBorder="1" applyProtection="1">
      <alignment vertical="center"/>
    </xf>
    <xf numFmtId="180" fontId="5" fillId="0" borderId="22" xfId="2" applyNumberFormat="1" applyFont="1" applyBorder="1" applyProtection="1">
      <alignment vertical="center"/>
    </xf>
    <xf numFmtId="180" fontId="5" fillId="0" borderId="27" xfId="2" applyNumberFormat="1" applyFont="1" applyBorder="1" applyProtection="1">
      <alignment vertical="center"/>
    </xf>
    <xf numFmtId="180" fontId="8" fillId="10" borderId="28" xfId="2" applyNumberFormat="1" applyFont="1" applyFill="1" applyBorder="1" applyAlignment="1" applyProtection="1">
      <alignment horizontal="center" vertical="center"/>
    </xf>
    <xf numFmtId="180" fontId="5" fillId="0" borderId="0" xfId="2" applyNumberFormat="1" applyFont="1" applyProtection="1">
      <alignment vertical="center"/>
    </xf>
    <xf numFmtId="180" fontId="5" fillId="0" borderId="29" xfId="2" applyNumberFormat="1" applyFont="1" applyBorder="1" applyProtection="1">
      <alignment vertical="center"/>
    </xf>
    <xf numFmtId="180" fontId="5" fillId="0" borderId="30" xfId="2" applyNumberFormat="1" applyFont="1" applyBorder="1" applyProtection="1">
      <alignment vertical="center"/>
    </xf>
    <xf numFmtId="180" fontId="5" fillId="0" borderId="31" xfId="2" applyNumberFormat="1" applyFont="1" applyBorder="1" applyProtection="1">
      <alignment vertical="center"/>
    </xf>
    <xf numFmtId="180" fontId="8" fillId="10" borderId="32" xfId="2" applyNumberFormat="1" applyFont="1" applyFill="1" applyBorder="1" applyAlignment="1" applyProtection="1">
      <alignment horizontal="center" vertical="center"/>
    </xf>
    <xf numFmtId="0" fontId="18" fillId="8" borderId="0" xfId="0" applyFont="1" applyFill="1">
      <alignment vertical="center"/>
    </xf>
    <xf numFmtId="0" fontId="18" fillId="8" borderId="0" xfId="0" applyFont="1" applyFill="1" applyAlignment="1">
      <alignment horizontal="center" vertical="center"/>
    </xf>
    <xf numFmtId="0" fontId="30" fillId="8" borderId="0" xfId="0" applyFont="1" applyFill="1" applyAlignment="1">
      <alignment horizontal="center" vertical="center"/>
    </xf>
    <xf numFmtId="14" fontId="30" fillId="8" borderId="0" xfId="0" applyNumberFormat="1" applyFont="1" applyFill="1" applyAlignment="1">
      <alignment horizontal="center" vertical="center"/>
    </xf>
    <xf numFmtId="0" fontId="37" fillId="0" borderId="24" xfId="0" applyFont="1" applyFill="1" applyBorder="1" applyAlignment="1">
      <alignment horizontal="center" vertical="center"/>
    </xf>
    <xf numFmtId="0" fontId="37" fillId="0" borderId="24" xfId="0" applyFont="1" applyFill="1" applyBorder="1" applyAlignment="1">
      <alignment horizontal="left" vertical="center" wrapText="1"/>
    </xf>
    <xf numFmtId="0" fontId="5" fillId="0" borderId="0" xfId="0" applyFont="1" applyFill="1" applyProtection="1">
      <alignment vertical="center"/>
      <protection locked="0"/>
    </xf>
    <xf numFmtId="4" fontId="0" fillId="0" borderId="0" xfId="0" applyNumberFormat="1" applyFill="1" applyProtection="1">
      <alignment vertical="center"/>
      <protection locked="0"/>
    </xf>
    <xf numFmtId="176" fontId="0" fillId="0" borderId="0" xfId="0" applyNumberFormat="1" applyFill="1" applyProtection="1">
      <alignment vertical="center"/>
      <protection locked="0"/>
    </xf>
    <xf numFmtId="10" fontId="0" fillId="0" borderId="0" xfId="0" applyNumberFormat="1" applyFill="1" applyProtection="1">
      <alignment vertical="center"/>
      <protection locked="0"/>
    </xf>
    <xf numFmtId="0" fontId="0" fillId="0" borderId="0" xfId="0" applyFill="1" applyProtection="1">
      <alignment vertical="center"/>
      <protection locked="0"/>
    </xf>
    <xf numFmtId="0" fontId="15" fillId="0" borderId="0" xfId="0" applyFont="1" applyFill="1" applyProtection="1">
      <alignment vertical="center"/>
      <protection locked="0"/>
    </xf>
    <xf numFmtId="43" fontId="0" fillId="0" borderId="0" xfId="0" applyNumberFormat="1" applyFill="1" applyProtection="1">
      <alignment vertical="center"/>
      <protection locked="0"/>
    </xf>
    <xf numFmtId="0" fontId="21" fillId="11" borderId="0" xfId="0" applyFont="1" applyFill="1" applyBorder="1">
      <alignment vertical="center"/>
    </xf>
    <xf numFmtId="0" fontId="38" fillId="11" borderId="0" xfId="0" applyFont="1" applyFill="1" applyBorder="1" applyAlignment="1">
      <alignment horizontal="left" vertical="center" wrapText="1"/>
    </xf>
    <xf numFmtId="0" fontId="21" fillId="11" borderId="0" xfId="0" applyFont="1" applyFill="1">
      <alignment vertical="center"/>
    </xf>
    <xf numFmtId="176" fontId="39" fillId="0" borderId="0" xfId="0" applyNumberFormat="1" applyFont="1" applyFill="1" applyAlignment="1" applyProtection="1">
      <alignment horizontal="center" vertical="center"/>
    </xf>
    <xf numFmtId="176" fontId="39" fillId="0" borderId="33" xfId="0" applyNumberFormat="1" applyFont="1" applyFill="1" applyBorder="1" applyAlignment="1" applyProtection="1">
      <alignment horizontal="center" vertical="center"/>
    </xf>
    <xf numFmtId="10" fontId="39" fillId="0" borderId="0" xfId="0" applyNumberFormat="1" applyFont="1" applyFill="1" applyAlignment="1" applyProtection="1">
      <alignment horizontal="center" vertical="center"/>
    </xf>
    <xf numFmtId="10" fontId="39" fillId="0" borderId="13" xfId="0" applyNumberFormat="1" applyFont="1" applyFill="1" applyBorder="1" applyAlignment="1" applyProtection="1">
      <alignment horizontal="center" vertical="center"/>
    </xf>
    <xf numFmtId="177" fontId="8" fillId="0" borderId="0" xfId="1" applyNumberFormat="1" applyFont="1" applyFill="1" applyAlignment="1" applyProtection="1">
      <alignment horizontal="center" vertical="center"/>
    </xf>
    <xf numFmtId="0" fontId="13" fillId="0" borderId="0" xfId="0" applyFont="1" applyAlignment="1" applyProtection="1">
      <alignment horizontal="left" vertical="center"/>
    </xf>
    <xf numFmtId="0" fontId="8" fillId="2" borderId="34" xfId="0" applyFont="1" applyFill="1" applyBorder="1" applyAlignment="1" applyProtection="1">
      <alignment horizontal="center" vertical="center"/>
    </xf>
    <xf numFmtId="0" fontId="8" fillId="2" borderId="14" xfId="0" applyFont="1" applyFill="1" applyBorder="1" applyAlignment="1" applyProtection="1">
      <alignment horizontal="center" vertical="center"/>
    </xf>
    <xf numFmtId="4" fontId="40" fillId="2" borderId="0" xfId="0" applyNumberFormat="1" applyFont="1" applyFill="1" applyBorder="1" applyAlignment="1" applyProtection="1">
      <alignment horizontal="center" vertical="center"/>
    </xf>
    <xf numFmtId="10" fontId="33" fillId="2" borderId="0" xfId="1" applyNumberFormat="1" applyFont="1" applyFill="1" applyBorder="1" applyAlignment="1" applyProtection="1">
      <alignment horizontal="center" vertical="center"/>
    </xf>
    <xf numFmtId="0" fontId="9" fillId="0" borderId="0" xfId="0" applyFont="1" applyAlignment="1" applyProtection="1">
      <alignment horizontal="center" vertical="center"/>
    </xf>
    <xf numFmtId="0" fontId="13" fillId="0" borderId="0" xfId="0" applyFont="1" applyAlignment="1" applyProtection="1">
      <alignment horizontal="left" vertical="center" wrapText="1"/>
    </xf>
    <xf numFmtId="177" fontId="8" fillId="0" borderId="35" xfId="1" applyNumberFormat="1" applyFont="1" applyFill="1" applyBorder="1" applyAlignment="1" applyProtection="1">
      <alignment horizontal="center"/>
    </xf>
    <xf numFmtId="177" fontId="8" fillId="0" borderId="0" xfId="1" applyNumberFormat="1" applyFont="1" applyFill="1" applyAlignment="1" applyProtection="1">
      <alignment horizontal="center"/>
    </xf>
    <xf numFmtId="0" fontId="15" fillId="0" borderId="5" xfId="0" applyFont="1" applyBorder="1" applyAlignment="1" applyProtection="1">
      <alignment horizontal="center" vertical="center"/>
    </xf>
    <xf numFmtId="0" fontId="15" fillId="0" borderId="0" xfId="0" applyFont="1" applyBorder="1" applyAlignment="1" applyProtection="1">
      <alignment horizontal="center" vertical="center"/>
    </xf>
    <xf numFmtId="0" fontId="0" fillId="0" borderId="0" xfId="0" applyAlignment="1" applyProtection="1">
      <alignment horizontal="center" vertical="center"/>
    </xf>
    <xf numFmtId="0" fontId="5" fillId="0" borderId="1" xfId="0" applyFont="1" applyBorder="1" applyAlignment="1" applyProtection="1">
      <alignment horizontal="left" vertical="top" wrapText="1"/>
    </xf>
    <xf numFmtId="0" fontId="5" fillId="0" borderId="36" xfId="0" applyFont="1" applyBorder="1" applyAlignment="1" applyProtection="1">
      <alignment horizontal="center" vertical="center"/>
    </xf>
    <xf numFmtId="0" fontId="21" fillId="0" borderId="37" xfId="0" applyFont="1" applyBorder="1" applyAlignment="1">
      <alignment horizontal="left" vertical="center" wrapText="1"/>
    </xf>
    <xf numFmtId="0" fontId="21" fillId="0" borderId="38" xfId="0" applyFont="1" applyBorder="1" applyAlignment="1">
      <alignment horizontal="left" vertical="center" wrapText="1"/>
    </xf>
    <xf numFmtId="0" fontId="22" fillId="11" borderId="0" xfId="0" applyFont="1" applyFill="1" applyAlignment="1">
      <alignment horizontal="left" vertical="top" wrapText="1"/>
    </xf>
    <xf numFmtId="0" fontId="5" fillId="0" borderId="0" xfId="0" applyFont="1" applyAlignment="1" applyProtection="1">
      <alignment horizontal="center" vertical="center"/>
    </xf>
  </cellXfs>
  <cellStyles count="3">
    <cellStyle name="百分比" xfId="1" builtinId="5"/>
    <cellStyle name="常规" xfId="0" builtinId="0"/>
    <cellStyle name="千位分隔" xfId="2" builtinId="3"/>
  </cellStyles>
  <dxfs count="11">
    <dxf>
      <font>
        <condense val="0"/>
        <extend val="0"/>
        <color indexed="10"/>
      </font>
    </dxf>
    <dxf>
      <font>
        <strike val="0"/>
        <condense val="0"/>
        <extend val="0"/>
        <color indexed="10"/>
      </font>
    </dxf>
    <dxf>
      <font>
        <strike/>
        <condense val="0"/>
        <extend val="0"/>
        <color indexed="10"/>
      </font>
    </dxf>
    <dxf>
      <font>
        <strike val="0"/>
        <condense val="0"/>
        <extend val="0"/>
        <color indexed="10"/>
      </font>
    </dxf>
    <dxf>
      <fill>
        <patternFill>
          <bgColor rgb="FFFF0000"/>
        </patternFill>
      </fill>
    </dxf>
    <dxf>
      <fill>
        <patternFill>
          <bgColor rgb="FFFF0000"/>
        </patternFill>
      </fill>
    </dxf>
    <dxf>
      <fill>
        <patternFill>
          <bgColor rgb="FFFF0000"/>
        </patternFill>
      </fill>
    </dxf>
    <dxf>
      <font>
        <condense val="0"/>
        <extend val="0"/>
        <color indexed="10"/>
      </font>
    </dxf>
    <dxf>
      <font>
        <strike val="0"/>
        <condense val="0"/>
        <extend val="0"/>
        <color indexed="10"/>
      </font>
    </dxf>
    <dxf>
      <font>
        <strike/>
        <condense val="0"/>
        <extend val="0"/>
        <color indexed="10"/>
      </font>
    </dxf>
    <dxf>
      <font>
        <strike val="0"/>
        <condense val="0"/>
        <extend val="0"/>
        <color indexed="10"/>
      </font>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C7EDCC"/>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U135"/>
  <sheetViews>
    <sheetView tabSelected="1" zoomScale="90" zoomScaleNormal="90" workbookViewId="0">
      <selection activeCell="E19" sqref="E19"/>
    </sheetView>
  </sheetViews>
  <sheetFormatPr defaultColWidth="12.625" defaultRowHeight="12.75"/>
  <cols>
    <col min="1" max="1" width="16.125" style="19" bestFit="1" customWidth="1"/>
    <col min="2" max="2" width="12.25" style="19" bestFit="1" customWidth="1"/>
    <col min="3" max="7" width="13.875" style="19" customWidth="1"/>
    <col min="8" max="8" width="16.75" style="19" customWidth="1"/>
    <col min="9" max="9" width="19.625" style="167" hidden="1" customWidth="1"/>
    <col min="10" max="12" width="14.875" style="167" hidden="1" customWidth="1"/>
    <col min="13" max="13" width="14.875" style="168" hidden="1" customWidth="1"/>
    <col min="14" max="14" width="15.125" style="169" hidden="1" customWidth="1"/>
    <col min="15" max="15" width="21" style="169" bestFit="1" customWidth="1"/>
    <col min="16" max="16" width="15" style="169" bestFit="1" customWidth="1"/>
    <col min="17" max="17" width="18.25" style="19" bestFit="1" customWidth="1"/>
    <col min="18" max="18" width="15.25" style="19" customWidth="1"/>
    <col min="19" max="21" width="12.625" style="60" customWidth="1"/>
    <col min="22" max="16384" width="12.625" style="19"/>
  </cols>
  <sheetData>
    <row r="1" spans="1:21" s="112" customFormat="1" ht="29.25" customHeight="1">
      <c r="B1" s="220" t="s">
        <v>39</v>
      </c>
      <c r="C1" s="220"/>
      <c r="D1" s="220"/>
      <c r="E1" s="220"/>
      <c r="F1" s="220"/>
      <c r="G1" s="220"/>
      <c r="H1" s="93" t="s">
        <v>116</v>
      </c>
      <c r="I1" s="113">
        <f>IF(DATE(YEAR(A12),MONTH(A12)+12/$E$7+1,DAY(1))-1&lt;DATE(YEAR(A12),MONTH(A12)+12/$E$7,DAY($A$12)),DATE(YEAR(A12),MONTH(A12)+12/$E$7+1,DAY(1))-1,DATE(YEAR(A12),MONTH(A12)+12/$E$7,DAY($A$12)))</f>
        <v>42338</v>
      </c>
      <c r="J1" s="114" t="s">
        <v>21</v>
      </c>
      <c r="K1" s="114" t="s">
        <v>36</v>
      </c>
      <c r="L1" s="114" t="s">
        <v>37</v>
      </c>
      <c r="M1" s="115" t="s">
        <v>38</v>
      </c>
      <c r="N1" s="116" t="s">
        <v>35</v>
      </c>
      <c r="O1" s="97"/>
      <c r="P1" s="97"/>
      <c r="Q1" s="170"/>
      <c r="R1" s="171"/>
      <c r="S1" s="117"/>
      <c r="T1" s="117"/>
      <c r="U1" s="117"/>
    </row>
    <row r="2" spans="1:21" ht="18.75" customHeight="1">
      <c r="A2" s="24" t="s">
        <v>25</v>
      </c>
      <c r="B2" s="20" t="s">
        <v>22</v>
      </c>
      <c r="C2" s="39" t="s">
        <v>93</v>
      </c>
      <c r="D2" s="20" t="s">
        <v>23</v>
      </c>
      <c r="E2" s="39" t="s">
        <v>35</v>
      </c>
      <c r="F2" s="20" t="s">
        <v>53</v>
      </c>
      <c r="G2" s="39" t="s">
        <v>147</v>
      </c>
      <c r="H2" s="31" t="s">
        <v>70</v>
      </c>
      <c r="I2" s="67"/>
      <c r="J2" s="32">
        <f>IF(C2="明示利率",1,0)</f>
        <v>0</v>
      </c>
      <c r="K2" s="33">
        <f>IF(E2="等额本金",1,0)</f>
        <v>0</v>
      </c>
      <c r="L2" s="33">
        <f>IF(G2="先付",1,0)</f>
        <v>0</v>
      </c>
      <c r="M2" s="33">
        <f>IF(E2="不等额租金",1,0)</f>
        <v>0</v>
      </c>
      <c r="N2" s="33">
        <f>IF(E2="等额租金",1,0)</f>
        <v>1</v>
      </c>
      <c r="O2" s="221" t="s">
        <v>45</v>
      </c>
      <c r="P2" s="221"/>
      <c r="Q2" s="210" t="s">
        <v>143</v>
      </c>
      <c r="R2" s="210" t="s">
        <v>145</v>
      </c>
    </row>
    <row r="3" spans="1:21" s="121" customFormat="1" ht="15" customHeight="1" thickBot="1">
      <c r="A3" s="37" t="str">
        <f>IF(AND(J2=1,N2=1),"明示利率等额租金",IF(AND(J2=1,K2=1),"明示利率等额本金",IF(AND(J2=0,N2=1),"按金额调息",IF(M2=1,"按金额调息","逻辑错误"))))</f>
        <v>按金额调息</v>
      </c>
      <c r="B3" s="63" t="s">
        <v>15</v>
      </c>
      <c r="C3" s="118">
        <f ca="1">IF(ISERROR(I4),0,I4)</f>
        <v>-10690.071350686812</v>
      </c>
      <c r="D3" s="63" t="s">
        <v>16</v>
      </c>
      <c r="E3" s="118">
        <f ca="1">IF(ISERROR(J4),0,J4)</f>
        <v>4388.4291676958901</v>
      </c>
      <c r="F3" s="63" t="s">
        <v>17</v>
      </c>
      <c r="G3" s="119">
        <f ca="1">IF(AND(C3&gt;0,E3&lt;=0),100%,IF(AND(C3=0,E3=0),0%,C3/E3))</f>
        <v>-2.4359676189782391</v>
      </c>
      <c r="H3" s="120" t="s">
        <v>1</v>
      </c>
      <c r="I3" s="114" t="s">
        <v>55</v>
      </c>
      <c r="J3" s="114" t="s">
        <v>56</v>
      </c>
      <c r="K3" s="114" t="s">
        <v>26</v>
      </c>
      <c r="L3" s="114" t="s">
        <v>27</v>
      </c>
      <c r="M3" s="115" t="s">
        <v>40</v>
      </c>
      <c r="N3" s="116" t="s">
        <v>41</v>
      </c>
      <c r="O3" s="221"/>
      <c r="P3" s="221"/>
      <c r="Q3" s="210">
        <f>C5-C6</f>
        <v>100000000</v>
      </c>
      <c r="R3" s="212">
        <v>7.0000000000000007E-2</v>
      </c>
      <c r="S3" s="122" t="s">
        <v>57</v>
      </c>
      <c r="T3" s="123" t="e">
        <f ca="1">XIRR(OFFSET(G12,1,0,E5*E7,1),OFFSET(A12,1,0,E5*E7,1),0.01)</f>
        <v>#NUM!</v>
      </c>
      <c r="U3" s="124"/>
    </row>
    <row r="4" spans="1:21" s="112" customFormat="1" ht="15" customHeight="1" thickBot="1">
      <c r="A4" s="27" t="str">
        <f>IF(AND(J2=1,K2=1),"等额不等额本金亦适用","")</f>
        <v/>
      </c>
      <c r="B4" s="63" t="s">
        <v>19</v>
      </c>
      <c r="C4" s="125"/>
      <c r="D4" s="63" t="s">
        <v>20</v>
      </c>
      <c r="E4" s="125"/>
      <c r="F4" s="63" t="s">
        <v>18</v>
      </c>
      <c r="G4" s="119">
        <f ca="1">IF(AND(C3&gt;0,E3&lt;=0),100%,IF(AND(C3=0,E3=0),0%,(C3+C4)/(E3+E4)))</f>
        <v>-2.4359676189782391</v>
      </c>
      <c r="H4" s="126">
        <f>SUM(G$12:G$134)</f>
        <v>-99327776</v>
      </c>
      <c r="I4" s="127">
        <f ca="1">I9/10000</f>
        <v>-10690.071350686812</v>
      </c>
      <c r="J4" s="127">
        <f ca="1">I10/10000</f>
        <v>4388.4291676958901</v>
      </c>
      <c r="K4" s="35">
        <f>A13</f>
        <v>42338</v>
      </c>
      <c r="L4" s="35">
        <f ca="1">OFFSET(B12,MATCH(E5*E7,B13:B134,1),-1,1,1)</f>
        <v>42520</v>
      </c>
      <c r="M4" s="33">
        <f>IF(A3="按金额调息",1,0)</f>
        <v>1</v>
      </c>
      <c r="N4" s="38">
        <f>IF(A3="按比例调息",1,0)</f>
        <v>0</v>
      </c>
      <c r="O4" s="221"/>
      <c r="P4" s="221"/>
      <c r="Q4" s="211" t="s">
        <v>144</v>
      </c>
      <c r="R4" s="210" t="s">
        <v>146</v>
      </c>
      <c r="S4" s="122" t="s">
        <v>58</v>
      </c>
      <c r="T4" s="123">
        <f ca="1">XIRR(OFFSET(G12,0,0,E5*E7+1,1),OFFSET(A12,0,0,E5*E7+1,1),0.01)</f>
        <v>-0.99637975656893085</v>
      </c>
      <c r="U4" s="117"/>
    </row>
    <row r="5" spans="1:21" s="112" customFormat="1" ht="15" customHeight="1" thickBot="1">
      <c r="A5" s="128" t="s">
        <v>61</v>
      </c>
      <c r="B5" s="129" t="s">
        <v>2</v>
      </c>
      <c r="C5" s="130">
        <v>100000000</v>
      </c>
      <c r="D5" s="20" t="s">
        <v>46</v>
      </c>
      <c r="E5" s="131">
        <v>1</v>
      </c>
      <c r="F5" s="129" t="s">
        <v>47</v>
      </c>
      <c r="G5" s="130"/>
      <c r="H5" s="120" t="s">
        <v>3</v>
      </c>
      <c r="I5" s="71" t="s">
        <v>28</v>
      </c>
      <c r="J5" s="71" t="s">
        <v>64</v>
      </c>
      <c r="K5" s="71" t="s">
        <v>65</v>
      </c>
      <c r="L5" s="71" t="s">
        <v>66</v>
      </c>
      <c r="M5" s="71" t="s">
        <v>67</v>
      </c>
      <c r="N5" s="71" t="s">
        <v>68</v>
      </c>
      <c r="O5" s="129" t="s">
        <v>69</v>
      </c>
      <c r="P5" s="129">
        <f>$A$6+$C$6</f>
        <v>672224</v>
      </c>
      <c r="Q5" s="213">
        <f>A8/Q3/E5</f>
        <v>0.13217911359999998</v>
      </c>
      <c r="R5" s="210">
        <f>(R3*Q3*E5+Q3)/(E5*E7)</f>
        <v>53500000</v>
      </c>
      <c r="S5" s="218" t="s">
        <v>120</v>
      </c>
      <c r="T5" s="219">
        <f ca="1">IF(ISERROR(XIRR(OFFSET(T10,1,0,E5*E7+2,1),OFFSET(S10,1,0,E5*E7+2,1),0.01)),100%,XIRR(OFFSET(T10,1,0,E5*E7+2,1),OFFSET(S10,1,0,E5*E7+2,1),0.01))</f>
        <v>-0.99637975656893085</v>
      </c>
      <c r="U5" s="117"/>
    </row>
    <row r="6" spans="1:21" ht="15" customHeight="1">
      <c r="A6" s="132">
        <f>SUM($C$13:$C$134)</f>
        <v>672224</v>
      </c>
      <c r="B6" s="133" t="s">
        <v>4</v>
      </c>
      <c r="C6" s="134">
        <v>0</v>
      </c>
      <c r="D6" s="63" t="s">
        <v>48</v>
      </c>
      <c r="E6" s="135">
        <v>0.12828071174154185</v>
      </c>
      <c r="F6" s="133" t="s">
        <v>49</v>
      </c>
      <c r="G6" s="134"/>
      <c r="H6" s="126">
        <f>SUM(J13:J134)</f>
        <v>103304608.4750137</v>
      </c>
      <c r="I6" s="136">
        <f t="shared" ref="I6:M7" ca="1" si="0">IF(ISERROR(I9-J9),0,(I9-J9))</f>
        <v>5644973.8531318754</v>
      </c>
      <c r="J6" s="136">
        <f t="shared" ca="1" si="0"/>
        <v>0</v>
      </c>
      <c r="K6" s="136">
        <f t="shared" ca="1" si="0"/>
        <v>0</v>
      </c>
      <c r="L6" s="136">
        <f t="shared" ca="1" si="0"/>
        <v>0</v>
      </c>
      <c r="M6" s="136">
        <f t="shared" ca="1" si="0"/>
        <v>0</v>
      </c>
      <c r="N6" s="136">
        <f ca="1">IF(ISERROR(N9-0),0,(N9-0))</f>
        <v>-112545687.36</v>
      </c>
      <c r="O6" s="215" t="s">
        <v>119</v>
      </c>
      <c r="P6" s="215"/>
      <c r="Q6" s="210"/>
      <c r="R6" s="210"/>
      <c r="S6" s="218"/>
      <c r="T6" s="219"/>
    </row>
    <row r="7" spans="1:21" ht="15" customHeight="1">
      <c r="A7" s="137" t="str">
        <f>IF(AND(A10&lt;&gt;C5-C6-C8+C9,K2=0),"请修正末期利息","利息收入总额")</f>
        <v>请修正末期利息</v>
      </c>
      <c r="B7" s="133" t="s">
        <v>5</v>
      </c>
      <c r="C7" s="134">
        <v>0</v>
      </c>
      <c r="D7" s="63" t="s">
        <v>50</v>
      </c>
      <c r="E7" s="138">
        <v>2</v>
      </c>
      <c r="F7" s="133" t="s">
        <v>51</v>
      </c>
      <c r="G7" s="134"/>
      <c r="H7" s="139" t="s">
        <v>14</v>
      </c>
      <c r="I7" s="140">
        <f t="shared" ca="1" si="0"/>
        <v>43884291.676958904</v>
      </c>
      <c r="J7" s="140">
        <f t="shared" ca="1" si="0"/>
        <v>0</v>
      </c>
      <c r="K7" s="140">
        <f t="shared" ca="1" si="0"/>
        <v>0</v>
      </c>
      <c r="L7" s="140">
        <f t="shared" ca="1" si="0"/>
        <v>0</v>
      </c>
      <c r="M7" s="140">
        <f t="shared" ca="1" si="0"/>
        <v>0</v>
      </c>
      <c r="N7" s="140">
        <f ca="1">IF(ISERROR(N10-0),0,(N10-0))</f>
        <v>0</v>
      </c>
      <c r="O7" s="215" t="s">
        <v>118</v>
      </c>
      <c r="P7" s="215"/>
      <c r="Q7" s="210"/>
      <c r="R7" s="210"/>
      <c r="S7" s="122" t="s">
        <v>60</v>
      </c>
      <c r="T7" s="123">
        <f>IF(E8="","",IRR(G12:G134,0.01)*E7)</f>
        <v>-1.8806398406606399</v>
      </c>
      <c r="U7" s="141"/>
    </row>
    <row r="8" spans="1:21" ht="15" customHeight="1">
      <c r="A8" s="132">
        <f>SUM($D$13:$D$134)</f>
        <v>13217911.359999999</v>
      </c>
      <c r="B8" s="63" t="s">
        <v>52</v>
      </c>
      <c r="C8" s="134"/>
      <c r="D8" s="63" t="s">
        <v>6</v>
      </c>
      <c r="E8" s="142">
        <f>IF(E7="","",IF(K2=1,ROUND((F$12-C$8)/(E$5*E$7),2),ROUND(-PMT(E$6/E$7,E$5*E$7,F$12,-C$8,L2),2)))</f>
        <v>54860353.549999997</v>
      </c>
      <c r="F8" s="133" t="s">
        <v>7</v>
      </c>
      <c r="G8" s="134"/>
      <c r="H8" s="143" t="str">
        <f>IF(C5="","",IF(OR(ISERROR($H$4/$H$6),$H$4/$H$6&gt;100%,$H$4/$H$6&lt;0),"100.00%",($H$4/H$6)))</f>
        <v>100.00%</v>
      </c>
      <c r="I8" s="144">
        <f t="shared" ref="I8:N8" ca="1" si="1">IF(I7=0,0,I6/I7)</f>
        <v>0.12863313129640244</v>
      </c>
      <c r="J8" s="144">
        <f t="shared" ca="1" si="1"/>
        <v>0</v>
      </c>
      <c r="K8" s="144">
        <f t="shared" ca="1" si="1"/>
        <v>0</v>
      </c>
      <c r="L8" s="144">
        <f t="shared" ca="1" si="1"/>
        <v>0</v>
      </c>
      <c r="M8" s="144">
        <f t="shared" ca="1" si="1"/>
        <v>0</v>
      </c>
      <c r="N8" s="144">
        <f t="shared" ca="1" si="1"/>
        <v>0</v>
      </c>
      <c r="O8" s="215" t="s">
        <v>42</v>
      </c>
      <c r="P8" s="215"/>
      <c r="Q8" s="210"/>
      <c r="R8" s="210"/>
      <c r="S8" s="122" t="s">
        <v>59</v>
      </c>
      <c r="T8" s="123">
        <f ca="1">H10-T7</f>
        <v>2.8806398406606402</v>
      </c>
    </row>
    <row r="9" spans="1:21" ht="15" customHeight="1">
      <c r="A9" s="137" t="str">
        <f>IF(AND(A10&lt;&gt;C5-C6-C8+C9,K2=1),"请修正末期本金","回收成本总额")</f>
        <v>回收成本总额</v>
      </c>
      <c r="B9" s="63" t="s">
        <v>8</v>
      </c>
      <c r="C9" s="134"/>
      <c r="D9" s="63" t="s">
        <v>9</v>
      </c>
      <c r="E9" s="134"/>
      <c r="F9" s="133" t="s">
        <v>10</v>
      </c>
      <c r="G9" s="134"/>
      <c r="H9" s="139" t="s">
        <v>44</v>
      </c>
      <c r="I9" s="145">
        <f ca="1">H4-OFFSET(K12,MATCH(N12,N12:N134,1)-1,1,1,1)</f>
        <v>-106900713.50686812</v>
      </c>
      <c r="J9" s="145">
        <f ca="1">H4-OFFSET(K12,MATCH(N12+1,N13:N134,1),1,1,1)</f>
        <v>-112545687.36</v>
      </c>
      <c r="K9" s="145">
        <f ca="1">H4-OFFSET(K12,MATCH(N12+2,N13:N134,1),1,1,1)</f>
        <v>-112545687.36</v>
      </c>
      <c r="L9" s="145">
        <f ca="1">H4-OFFSET(K12,MATCH(N12+3,N13:N134,1),1,1,1)</f>
        <v>-112545687.36</v>
      </c>
      <c r="M9" s="145">
        <f ca="1">H4-OFFSET(K12,MATCH(N12+4,N13:N134,1),1,1,1)</f>
        <v>-112545687.36</v>
      </c>
      <c r="N9" s="145">
        <f ca="1">H4-OFFSET(K12,MATCH(N12+5,N13:N134,1),1,1,1)</f>
        <v>-112545687.36</v>
      </c>
      <c r="O9" s="215" t="s">
        <v>54</v>
      </c>
      <c r="P9" s="215"/>
      <c r="Q9" s="210"/>
      <c r="R9" s="210"/>
    </row>
    <row r="10" spans="1:21" ht="15" customHeight="1">
      <c r="A10" s="132">
        <f>SUM($E$13:$E$134)</f>
        <v>-12545687.359999999</v>
      </c>
      <c r="B10" s="63" t="s">
        <v>11</v>
      </c>
      <c r="C10" s="134"/>
      <c r="D10" s="63" t="s">
        <v>29</v>
      </c>
      <c r="E10" s="147">
        <v>42154</v>
      </c>
      <c r="F10" s="133" t="s">
        <v>12</v>
      </c>
      <c r="G10" s="134">
        <v>0</v>
      </c>
      <c r="H10" s="148">
        <f ca="1">IF(C5="","",IF(OR(T5&lt;0,T5&gt;100%),100%,T5))</f>
        <v>1</v>
      </c>
      <c r="I10" s="145">
        <f ca="1">H6-OFFSET(K12,MATCH(N12,N12:N134,1)-1,0,1,1)</f>
        <v>43884291.676958904</v>
      </c>
      <c r="J10" s="145">
        <f ca="1">H6-OFFSET(K12,MATCH(N12+1,N13:N134,1),0,1,1)</f>
        <v>0</v>
      </c>
      <c r="K10" s="145">
        <f ca="1">H6-OFFSET(K12,MATCH(N12+2,N13:N134,1),0,1,1)</f>
        <v>0</v>
      </c>
      <c r="L10" s="145">
        <f ca="1">H6-OFFSET(K12,MATCH(N12+3,N13:N134,1),0,1,1)</f>
        <v>0</v>
      </c>
      <c r="M10" s="145">
        <f ca="1">H6-OFFSET(K12,MATCH(N12+4,N13:N134,1),0,1,1)</f>
        <v>0</v>
      </c>
      <c r="N10" s="145">
        <f ca="1">H6-OFFSET(K12,MATCH(N12+5,N13:N134,1),0,1,1)</f>
        <v>0</v>
      </c>
      <c r="O10" s="215"/>
      <c r="P10" s="215"/>
      <c r="Q10" s="210"/>
      <c r="R10" s="210"/>
      <c r="S10" s="63" t="s">
        <v>62</v>
      </c>
      <c r="T10" s="63" t="s">
        <v>63</v>
      </c>
    </row>
    <row r="11" spans="1:21" ht="15" customHeight="1" thickBot="1">
      <c r="A11" s="24" t="s">
        <v>43</v>
      </c>
      <c r="B11" s="216" t="s">
        <v>30</v>
      </c>
      <c r="C11" s="216" t="s">
        <v>31</v>
      </c>
      <c r="D11" s="216" t="s">
        <v>32</v>
      </c>
      <c r="E11" s="216" t="s">
        <v>33</v>
      </c>
      <c r="F11" s="82" t="s">
        <v>0</v>
      </c>
      <c r="G11" s="82" t="s">
        <v>13</v>
      </c>
      <c r="H11" s="104" t="str">
        <f>IF(SUM(H12:H134)&lt;&gt;0,"请填写完整","现金流量调整")</f>
        <v>现金流量调整</v>
      </c>
      <c r="I11" s="149">
        <f t="shared" ref="I11:N11" ca="1" si="2">IF(I10=0,0,I9/I10)</f>
        <v>-2.4359676189782387</v>
      </c>
      <c r="J11" s="149">
        <f t="shared" ca="1" si="2"/>
        <v>0</v>
      </c>
      <c r="K11" s="149">
        <f t="shared" ca="1" si="2"/>
        <v>0</v>
      </c>
      <c r="L11" s="149">
        <f t="shared" ca="1" si="2"/>
        <v>0</v>
      </c>
      <c r="M11" s="149">
        <f t="shared" ca="1" si="2"/>
        <v>0</v>
      </c>
      <c r="N11" s="149">
        <f t="shared" ca="1" si="2"/>
        <v>0</v>
      </c>
      <c r="O11" s="214" t="str">
        <f>IF(C5="","",IF(AND(O14=0,P14=0),"","基准利率每调整10个基点"))</f>
        <v>基准利率每调整10个基点</v>
      </c>
      <c r="P11" s="214"/>
      <c r="R11" s="82" t="str">
        <f>IF(SUM(R12:R134)&lt;&gt;0,"请填写完整","现金流量调整2")</f>
        <v>现金流量调整2</v>
      </c>
      <c r="S11" s="150">
        <f>A12</f>
        <v>42154</v>
      </c>
      <c r="T11" s="151">
        <f>IF(L2=1,G12-H12-R12,-C5+C6+C7-C10+G5+G6+G7+G8+G9)</f>
        <v>-100000000</v>
      </c>
      <c r="U11" s="152"/>
    </row>
    <row r="12" spans="1:21" ht="15" customHeight="1">
      <c r="A12" s="57">
        <f>E10</f>
        <v>42154</v>
      </c>
      <c r="B12" s="217"/>
      <c r="C12" s="217"/>
      <c r="D12" s="217"/>
      <c r="E12" s="217"/>
      <c r="F12" s="153">
        <f>C$5-C$6+C9</f>
        <v>100000000</v>
      </c>
      <c r="G12" s="153">
        <f>-C5+C6+C7-C10+G5+G6+G7+G8+G9+H12+R12</f>
        <v>-100000000</v>
      </c>
      <c r="H12" s="154"/>
      <c r="I12" s="155">
        <f>IF(A13="","",F12-$C$7-H12)</f>
        <v>100000000</v>
      </c>
      <c r="J12" s="156">
        <v>36891</v>
      </c>
      <c r="K12" s="155" t="str">
        <f>IF(M12="","",IF(B13="","",SUM($J13*(M12-A12)/(A13-A12))))</f>
        <v/>
      </c>
      <c r="L12" s="155" t="str">
        <f>IF(M12="","",IF(B13="","",SUM(R12,$G$5:$G$10,$D13*(M12-A12)/(A13-A12),$C$9,-C10)))</f>
        <v/>
      </c>
      <c r="M12" s="157" t="str">
        <f>IF(N12=N13,"",IF(A13="",A12,DATE(YEAR(A12),MONTH(J12),DAY(J12))))</f>
        <v/>
      </c>
      <c r="N12" s="158">
        <f>IF(E10="","",YEAR(A12))</f>
        <v>2015</v>
      </c>
      <c r="O12" s="159" t="str">
        <f>IF(M4=1,"租金增减金额","")</f>
        <v>租金增减金额</v>
      </c>
      <c r="P12" s="159" t="str">
        <f>IF(N4=1,"租金调整比例","")</f>
        <v/>
      </c>
      <c r="R12" s="154"/>
      <c r="S12" s="150">
        <f>A12</f>
        <v>42154</v>
      </c>
      <c r="T12" s="151">
        <f>IF(L2=1,-(-H12-R12),H12+R12)</f>
        <v>0</v>
      </c>
    </row>
    <row r="13" spans="1:21" ht="12.75" customHeight="1">
      <c r="A13" s="160">
        <f>IF(L2=1,A12,(IF(B13&lt;=($E$5*$E$7),IF(DATE(YEAR(A12),MONTH(A12)+12/$E$7+1,DAY(1))-1&lt;DATE(YEAR(A12),MONTH(A12)+12/$E$7,DAY($A$12)),DATE(YEAR(A12),MONTH(A12)+12/$E$7+1,DAY(1))-1,DATE(YEAR(A12),MONTH(A12)+12/$E$7,DAY($A$12))),"")))</f>
        <v>42338</v>
      </c>
      <c r="B13" s="161">
        <f>IF(E7="","",1)</f>
        <v>1</v>
      </c>
      <c r="C13" s="162">
        <v>336112</v>
      </c>
      <c r="D13" s="162">
        <f>IF($E$7="","",IF($L$2=1,0,ROUND(F12*E$6/E$7,2)))</f>
        <v>6414035.5899999999</v>
      </c>
      <c r="E13" s="162">
        <f>IF(C5="","",IF(B13="","",IF(K2=1,ROUND($E$8,2),ROUND(C13-D13,2))))</f>
        <v>-6077923.5899999999</v>
      </c>
      <c r="F13" s="163">
        <f>IF(B13="","",F12-E13)</f>
        <v>106077923.59</v>
      </c>
      <c r="G13" s="154">
        <f>IF(C13="","",IF(L2=1,IF(SUM(C14:C$134)=0,C13-C7+C8+G10+H13+R13,C13+H13+R13),IF(SUM(C14:C134)=0,C13-C7+C8+G10+H13+R13,C13+H13+R13)))</f>
        <v>336112</v>
      </c>
      <c r="H13" s="154"/>
      <c r="I13" s="155">
        <f>IF(A14="","",I12-E13-H13)</f>
        <v>106077923.59</v>
      </c>
      <c r="J13" s="155">
        <f>IF(I12="","",I12*(A13-A12)/365)</f>
        <v>50410958.90410959</v>
      </c>
      <c r="K13" s="155">
        <f>IF(M13="","",IF(B14="",SUM($J$13:$J13),SUM($J$13:$J13,$J14*(M13-A13)/(A14-A13))))</f>
        <v>59420316.798054799</v>
      </c>
      <c r="L13" s="155">
        <f>IF(M13="","",IF(B14="",SUM($D$13:$D13,$R$12:$R13,$G$5:$G$10,$C$9,-$C$10),SUM($D$13:$D13,$R$12:$R13,$G$5:$G$10,$D14*(M13-A13)/(A14-A13),$C$9,-$C$10)))</f>
        <v>7572937.5068681315</v>
      </c>
      <c r="M13" s="157">
        <f>IF(N13=N14,"",IF(A14="",A13,DATE(YEAR(A13),MONTH($J$12),DAY($J$12))))</f>
        <v>42369</v>
      </c>
      <c r="N13" s="158">
        <f t="shared" ref="N13:N76" si="3">IF(A13="","",YEAR(A13))</f>
        <v>2015</v>
      </c>
      <c r="O13" s="164">
        <f>IF(B13="","",0)</f>
        <v>0</v>
      </c>
      <c r="P13" s="165">
        <f>IF(B13="","",0)</f>
        <v>0</v>
      </c>
      <c r="Q13" s="146"/>
      <c r="R13" s="154"/>
      <c r="S13" s="150">
        <f>A13</f>
        <v>42338</v>
      </c>
      <c r="T13" s="151">
        <f>G13</f>
        <v>336112</v>
      </c>
      <c r="U13" s="151"/>
    </row>
    <row r="14" spans="1:21" ht="12.75" customHeight="1">
      <c r="A14" s="160">
        <f>IF(B14&lt;=($E$5*$E$7),IF(DATE(YEAR(A13),MONTH(A13)+12/$E$7+1,DAY(1))-1&lt;DATE(YEAR(A13),MONTH(A13)+12/$E$7,DAY($A$12)),DATE(YEAR(A13),MONTH(A13)+12/$E$7+1,DAY(1))-1,DATE(YEAR(A13),MONTH(A13)+12/$E$7,DAY($A$12))),"")</f>
        <v>42520</v>
      </c>
      <c r="B14" s="161">
        <f>IF($E$5*$E$7&lt;2,"",2)</f>
        <v>2</v>
      </c>
      <c r="C14" s="162">
        <f>IF(B14="","",IF($K$2=1,ROUND(D14+E14,2),ROUND(C13,2)))</f>
        <v>336112</v>
      </c>
      <c r="D14" s="162">
        <f>IF(B14="","",ROUND(F13*E$6/E$7,2))</f>
        <v>6803875.7699999996</v>
      </c>
      <c r="E14" s="162">
        <f>IF(B14="","",IF($K$2=1,ROUND(E13,2),ROUND(C14-D14,2)))</f>
        <v>-6467763.7699999996</v>
      </c>
      <c r="F14" s="163">
        <f>IF(B14="","",F13-E14)</f>
        <v>112545687.36</v>
      </c>
      <c r="G14" s="154">
        <f>IF(C14="","",IF(SUM(C15:C$134)=0,C14-C$7+C$8+G$10+H14+R14,C14+H14+R14))</f>
        <v>336112</v>
      </c>
      <c r="H14" s="154"/>
      <c r="I14" s="155" t="str">
        <f t="shared" ref="I14:I77" si="4">IF(A15="","",I13-E14-H14)</f>
        <v/>
      </c>
      <c r="J14" s="155">
        <f t="shared" ref="J14:J77" si="5">IF(I13="","",I13*(A14-A13)/365)</f>
        <v>52893649.570904113</v>
      </c>
      <c r="K14" s="155">
        <f>IF(M14="","",IF(B15="",SUM($J$13:$J14),SUM($J$13:$J14,$J15*(M14-A14)/(A15-A14))))</f>
        <v>103304608.4750137</v>
      </c>
      <c r="L14" s="155">
        <f>IF(M14="","",IF(B15="",SUM($D$13:$D14,$R$12:$R14,$G$5:$G$10,$C$9,-$C$10),SUM($D$13:$D14,$R$12:$R14,$G$5:$G$10,$D15*(M14-A14)/(A15-A14),$C$9,-$C$10)))</f>
        <v>13217911.359999999</v>
      </c>
      <c r="M14" s="157">
        <f t="shared" ref="M14:M77" si="6">IF(N14=N15,"",IF(A15="",A14,DATE(YEAR(A14),MONTH($J$12),DAY($J$12))))</f>
        <v>42520</v>
      </c>
      <c r="N14" s="158">
        <f t="shared" si="3"/>
        <v>2016</v>
      </c>
      <c r="O14" s="164">
        <f>IF(B14="","",IF($M$4=1,ROUND(-PMT((E$6+0.001)/E$7,(E$5*E$7-B13),F13,-C$8,0)-C14,2),0))</f>
        <v>112598726.31999999</v>
      </c>
      <c r="P14" s="166">
        <f>IF(B14="","",IF($N$4=1,ROUND(F13*0.001*DAYS360(A13,A14,1)/360/C14,6),0))</f>
        <v>0</v>
      </c>
      <c r="R14" s="154"/>
      <c r="S14" s="150">
        <f t="shared" ref="S14:S76" si="7">A14</f>
        <v>42520</v>
      </c>
      <c r="T14" s="151">
        <f t="shared" ref="T14:T76" si="8">G14</f>
        <v>336112</v>
      </c>
    </row>
    <row r="15" spans="1:21" ht="12.75" customHeight="1">
      <c r="A15" s="160" t="str">
        <f t="shared" ref="A15:A78" si="9">IF(B15&lt;=($E$5*$E$7),IF(DATE(YEAR(A14),MONTH(A14)+12/$E$7+1,DAY(1))-1&lt;DATE(YEAR(A14),MONTH(A14)+12/$E$7,DAY($A$12)),DATE(YEAR(A14),MONTH(A14)+12/$E$7+1,DAY(1))-1,DATE(YEAR(A14),MONTH(A14)+12/$E$7,DAY($A$12))),"")</f>
        <v/>
      </c>
      <c r="B15" s="161" t="str">
        <f>IF($E$5*$E$7&lt;3,"",3)</f>
        <v/>
      </c>
      <c r="C15" s="162" t="str">
        <f>IF(B15="","",IF($K$2=1,ROUND(D15+E15,2),ROUND(C14,2)))</f>
        <v/>
      </c>
      <c r="D15" s="162" t="str">
        <f t="shared" ref="D15:D78" si="10">IF(B15="","",ROUND(F14*E$6/E$7,2))</f>
        <v/>
      </c>
      <c r="E15" s="162" t="str">
        <f t="shared" ref="E15:E78" si="11">IF(B15="","",IF($K$2=1,ROUND(E14,2),ROUND(C15-D15,2)))</f>
        <v/>
      </c>
      <c r="F15" s="163" t="str">
        <f t="shared" ref="F15:F78" si="12">IF(B15="","",F14-E15)</f>
        <v/>
      </c>
      <c r="G15" s="154" t="str">
        <f>IF(C15="","",IF(SUM(C16:C$134)=0,C15-C$7+C$8+G$10+H15+R15,C15+H15+R15))</f>
        <v/>
      </c>
      <c r="H15" s="154"/>
      <c r="I15" s="155" t="str">
        <f t="shared" si="4"/>
        <v/>
      </c>
      <c r="J15" s="155" t="str">
        <f t="shared" si="5"/>
        <v/>
      </c>
      <c r="K15" s="155" t="str">
        <f>IF(M15="","",IF(B16="",SUM($J$13:$J15),SUM($J$13:$J15,$J16*(M15-A15)/(A16-A15))))</f>
        <v/>
      </c>
      <c r="L15" s="155" t="str">
        <f>IF(M15="","",IF(B16="",SUM($D$13:$D15,$R$12:$R15,$G$5:$G$10,$C$9,-$C$10),SUM($D$13:$D15,$R$12:$R15,$G$5:$G$10,$D16*(M15-A15)/(A16-A15),$C$9,-$C$10)))</f>
        <v/>
      </c>
      <c r="M15" s="157" t="str">
        <f t="shared" si="6"/>
        <v/>
      </c>
      <c r="N15" s="158" t="str">
        <f t="shared" si="3"/>
        <v/>
      </c>
      <c r="O15" s="164" t="str">
        <f t="shared" ref="O15:O78" si="13">IF(B15="","",IF($M$4=1,ROUND(-PMT((E$6+0.001)/E$7,(E$5*E$7-B14),F14,-C$8,0)-C15,2),0))</f>
        <v/>
      </c>
      <c r="P15" s="166" t="str">
        <f t="shared" ref="P15:P78" si="14">IF(B15="","",IF($N$4=1,ROUND(F14*0.001*DAYS360(A14,A15,1)/360/C15,6),0))</f>
        <v/>
      </c>
      <c r="R15" s="154"/>
      <c r="S15" s="150" t="str">
        <f t="shared" si="7"/>
        <v/>
      </c>
      <c r="T15" s="151" t="str">
        <f t="shared" si="8"/>
        <v/>
      </c>
    </row>
    <row r="16" spans="1:21" ht="12.75" customHeight="1">
      <c r="A16" s="160" t="str">
        <f t="shared" si="9"/>
        <v/>
      </c>
      <c r="B16" s="161" t="str">
        <f>IF($E$5*$E$7&lt;4,"",4)</f>
        <v/>
      </c>
      <c r="C16" s="162" t="str">
        <f>IF(B16="","",IF($K$2=1,ROUND(D16+E16,2),ROUND(C15,2)))</f>
        <v/>
      </c>
      <c r="D16" s="162" t="str">
        <f t="shared" si="10"/>
        <v/>
      </c>
      <c r="E16" s="162" t="str">
        <f t="shared" si="11"/>
        <v/>
      </c>
      <c r="F16" s="163" t="str">
        <f t="shared" si="12"/>
        <v/>
      </c>
      <c r="G16" s="154" t="str">
        <f>IF(C16="","",IF(SUM(C17:C$134)=0,C16-C$7+C$8+G$10+H16+R16,C16+H16+R16))</f>
        <v/>
      </c>
      <c r="H16" s="154"/>
      <c r="I16" s="155" t="str">
        <f t="shared" si="4"/>
        <v/>
      </c>
      <c r="J16" s="155" t="str">
        <f t="shared" si="5"/>
        <v/>
      </c>
      <c r="K16" s="155" t="str">
        <f>IF(M16="","",IF(B17="",SUM($J$13:$J16),SUM($J$13:$J16,$J17*(M16-A16)/(A17-A16))))</f>
        <v/>
      </c>
      <c r="L16" s="155" t="str">
        <f>IF(M16="","",IF(B17="",SUM($D$13:$D16,$R$12:$R16,$G$5:$G$10,$C$9,-$C$10),SUM($D$13:$D16,$R$12:$R16,$G$5:$G$10,$D17*(M16-A16)/(A17-A16),$C$9,-$C$10)))</f>
        <v/>
      </c>
      <c r="M16" s="157" t="str">
        <f t="shared" si="6"/>
        <v/>
      </c>
      <c r="N16" s="158" t="str">
        <f t="shared" si="3"/>
        <v/>
      </c>
      <c r="O16" s="164" t="str">
        <f t="shared" si="13"/>
        <v/>
      </c>
      <c r="P16" s="166" t="str">
        <f t="shared" si="14"/>
        <v/>
      </c>
      <c r="R16" s="154"/>
      <c r="S16" s="150" t="str">
        <f t="shared" si="7"/>
        <v/>
      </c>
      <c r="T16" s="151" t="str">
        <f t="shared" si="8"/>
        <v/>
      </c>
    </row>
    <row r="17" spans="1:20" ht="12.75" customHeight="1">
      <c r="A17" s="160" t="str">
        <f t="shared" si="9"/>
        <v/>
      </c>
      <c r="B17" s="161" t="str">
        <f>IF($E$5*$E$7&lt;5,"",5)</f>
        <v/>
      </c>
      <c r="C17" s="162" t="str">
        <f t="shared" ref="C17:C33" si="15">IF(B17="","",IF($K$2=1,ROUND(D17+E17,2),ROUND(C16,2)))</f>
        <v/>
      </c>
      <c r="D17" s="162" t="str">
        <f t="shared" si="10"/>
        <v/>
      </c>
      <c r="E17" s="162" t="str">
        <f t="shared" si="11"/>
        <v/>
      </c>
      <c r="F17" s="163" t="str">
        <f t="shared" si="12"/>
        <v/>
      </c>
      <c r="G17" s="154" t="str">
        <f>IF(C17="","",IF(SUM(C18:C$134)=0,C17-C$7+C$8+G$10+H17+R17,C17+H17+R17))</f>
        <v/>
      </c>
      <c r="H17" s="154"/>
      <c r="I17" s="155" t="str">
        <f t="shared" si="4"/>
        <v/>
      </c>
      <c r="J17" s="155" t="str">
        <f t="shared" si="5"/>
        <v/>
      </c>
      <c r="K17" s="155" t="str">
        <f>IF(M17="","",IF(B18="",SUM($J$13:$J17),SUM($J$13:$J17,$J18*(M17-A17)/(A18-A17))))</f>
        <v/>
      </c>
      <c r="L17" s="155" t="str">
        <f>IF(M17="","",IF(B18="",SUM($D$13:$D17,$R$12:$R17,$G$5:$G$10,$C$9,-$C$10),SUM($D$13:$D17,$R$12:$R17,$G$5:$G$10,$D18*(M17-A17)/(A18-A17),$C$9,-$C$10)))</f>
        <v/>
      </c>
      <c r="M17" s="157" t="str">
        <f t="shared" si="6"/>
        <v/>
      </c>
      <c r="N17" s="158" t="str">
        <f t="shared" si="3"/>
        <v/>
      </c>
      <c r="O17" s="164" t="str">
        <f t="shared" si="13"/>
        <v/>
      </c>
      <c r="P17" s="166" t="str">
        <f t="shared" si="14"/>
        <v/>
      </c>
      <c r="R17" s="154"/>
      <c r="S17" s="150" t="str">
        <f t="shared" si="7"/>
        <v/>
      </c>
      <c r="T17" s="151" t="str">
        <f t="shared" si="8"/>
        <v/>
      </c>
    </row>
    <row r="18" spans="1:20" ht="12.75" customHeight="1">
      <c r="A18" s="160" t="str">
        <f t="shared" si="9"/>
        <v/>
      </c>
      <c r="B18" s="161" t="str">
        <f>IF($E$5*$E$7&lt;6,"",6)</f>
        <v/>
      </c>
      <c r="C18" s="162" t="str">
        <f t="shared" si="15"/>
        <v/>
      </c>
      <c r="D18" s="162" t="str">
        <f t="shared" si="10"/>
        <v/>
      </c>
      <c r="E18" s="162" t="str">
        <f t="shared" si="11"/>
        <v/>
      </c>
      <c r="F18" s="163" t="str">
        <f t="shared" si="12"/>
        <v/>
      </c>
      <c r="G18" s="154" t="str">
        <f>IF(C18="","",IF(SUM(C19:C$134)=0,C18-C$7+C$8+G$10+H18+R18,C18+H18+R18))</f>
        <v/>
      </c>
      <c r="H18" s="154"/>
      <c r="I18" s="155" t="str">
        <f t="shared" si="4"/>
        <v/>
      </c>
      <c r="J18" s="155" t="str">
        <f t="shared" si="5"/>
        <v/>
      </c>
      <c r="K18" s="155" t="str">
        <f>IF(M18="","",IF(B19="",SUM($J$13:$J18),SUM($J$13:$J18,$J19*(M18-A18)/(A19-A18))))</f>
        <v/>
      </c>
      <c r="L18" s="155" t="str">
        <f>IF(M18="","",IF(B19="",SUM($D$13:$D18,$R$12:$R18,$G$5:$G$10,$C$9,-$C$10),SUM($D$13:$D18,$R$12:$R18,$G$5:$G$10,$D19*(M18-A18)/(A19-A18),$C$9,-$C$10)))</f>
        <v/>
      </c>
      <c r="M18" s="157" t="str">
        <f t="shared" si="6"/>
        <v/>
      </c>
      <c r="N18" s="158" t="str">
        <f t="shared" si="3"/>
        <v/>
      </c>
      <c r="O18" s="164" t="str">
        <f t="shared" si="13"/>
        <v/>
      </c>
      <c r="P18" s="166" t="str">
        <f t="shared" si="14"/>
        <v/>
      </c>
      <c r="R18" s="154"/>
      <c r="S18" s="150" t="str">
        <f t="shared" si="7"/>
        <v/>
      </c>
      <c r="T18" s="151" t="str">
        <f t="shared" si="8"/>
        <v/>
      </c>
    </row>
    <row r="19" spans="1:20" ht="12.75" customHeight="1">
      <c r="A19" s="160" t="str">
        <f t="shared" si="9"/>
        <v/>
      </c>
      <c r="B19" s="161" t="str">
        <f>IF($E$5*$E$7&lt;7,"",7)</f>
        <v/>
      </c>
      <c r="C19" s="162" t="str">
        <f t="shared" si="15"/>
        <v/>
      </c>
      <c r="D19" s="162" t="str">
        <f t="shared" si="10"/>
        <v/>
      </c>
      <c r="E19" s="162" t="str">
        <f t="shared" si="11"/>
        <v/>
      </c>
      <c r="F19" s="163" t="str">
        <f t="shared" si="12"/>
        <v/>
      </c>
      <c r="G19" s="154" t="str">
        <f>IF(C19="","",IF(SUM(C20:C$134)=0,C19-C$7+C$8+G$10+H19+R19,C19+H19+R19))</f>
        <v/>
      </c>
      <c r="H19" s="154"/>
      <c r="I19" s="155" t="str">
        <f t="shared" si="4"/>
        <v/>
      </c>
      <c r="J19" s="155" t="str">
        <f t="shared" si="5"/>
        <v/>
      </c>
      <c r="K19" s="155" t="str">
        <f>IF(M19="","",IF(B20="",SUM($J$13:$J19),SUM($J$13:$J19,$J20*(M19-A19)/(A20-A19))))</f>
        <v/>
      </c>
      <c r="L19" s="155" t="str">
        <f>IF(M19="","",IF(B20="",SUM($D$13:$D19,$R$12:$R19,$G$5:$G$10,$C$9,-$C$10),SUM($D$13:$D19,$R$12:$R19,$G$5:$G$10,$D20*(M19-A19)/(A20-A19),$C$9,-$C$10)))</f>
        <v/>
      </c>
      <c r="M19" s="157" t="str">
        <f t="shared" si="6"/>
        <v/>
      </c>
      <c r="N19" s="158" t="str">
        <f t="shared" si="3"/>
        <v/>
      </c>
      <c r="O19" s="164" t="str">
        <f t="shared" si="13"/>
        <v/>
      </c>
      <c r="P19" s="166" t="str">
        <f t="shared" si="14"/>
        <v/>
      </c>
      <c r="R19" s="154"/>
      <c r="S19" s="150" t="str">
        <f t="shared" si="7"/>
        <v/>
      </c>
      <c r="T19" s="151" t="str">
        <f t="shared" si="8"/>
        <v/>
      </c>
    </row>
    <row r="20" spans="1:20" ht="12.75" customHeight="1">
      <c r="A20" s="160" t="str">
        <f t="shared" si="9"/>
        <v/>
      </c>
      <c r="B20" s="161" t="str">
        <f>IF($E$5*$E$7&lt;8,"",8)</f>
        <v/>
      </c>
      <c r="C20" s="162" t="str">
        <f t="shared" si="15"/>
        <v/>
      </c>
      <c r="D20" s="162" t="str">
        <f t="shared" si="10"/>
        <v/>
      </c>
      <c r="E20" s="162" t="str">
        <f t="shared" si="11"/>
        <v/>
      </c>
      <c r="F20" s="163" t="str">
        <f t="shared" si="12"/>
        <v/>
      </c>
      <c r="G20" s="154" t="str">
        <f>IF(C20="","",IF(SUM(C21:C$134)=0,C20-C$7+C$8+G$10+H20+R20,C20+H20+R20))</f>
        <v/>
      </c>
      <c r="H20" s="154"/>
      <c r="I20" s="155" t="str">
        <f t="shared" si="4"/>
        <v/>
      </c>
      <c r="J20" s="155" t="str">
        <f t="shared" si="5"/>
        <v/>
      </c>
      <c r="K20" s="155" t="str">
        <f>IF(M20="","",IF(B21="",SUM($J$13:$J20),SUM($J$13:$J20,$J21*(M20-A20)/(A21-A20))))</f>
        <v/>
      </c>
      <c r="L20" s="155" t="str">
        <f>IF(M20="","",IF(B21="",SUM($D$13:$D20,$R$12:$R20,$G$5:$G$10,$C$9,-$C$10),SUM($D$13:$D20,$R$12:$R20,$G$5:$G$10,$D21*(M20-A20)/(A21-A20),$C$9,-$C$10)))</f>
        <v/>
      </c>
      <c r="M20" s="157" t="str">
        <f t="shared" si="6"/>
        <v/>
      </c>
      <c r="N20" s="158" t="str">
        <f t="shared" si="3"/>
        <v/>
      </c>
      <c r="O20" s="164" t="str">
        <f t="shared" si="13"/>
        <v/>
      </c>
      <c r="P20" s="166" t="str">
        <f t="shared" si="14"/>
        <v/>
      </c>
      <c r="R20" s="154"/>
      <c r="S20" s="150" t="str">
        <f t="shared" si="7"/>
        <v/>
      </c>
      <c r="T20" s="151" t="str">
        <f t="shared" si="8"/>
        <v/>
      </c>
    </row>
    <row r="21" spans="1:20" ht="12.75" customHeight="1">
      <c r="A21" s="160" t="str">
        <f t="shared" si="9"/>
        <v/>
      </c>
      <c r="B21" s="161" t="str">
        <f>IF($E$5*$E$7&lt;9,"",9)</f>
        <v/>
      </c>
      <c r="C21" s="162" t="str">
        <f t="shared" si="15"/>
        <v/>
      </c>
      <c r="D21" s="162" t="str">
        <f t="shared" si="10"/>
        <v/>
      </c>
      <c r="E21" s="162" t="str">
        <f t="shared" si="11"/>
        <v/>
      </c>
      <c r="F21" s="163" t="str">
        <f t="shared" si="12"/>
        <v/>
      </c>
      <c r="G21" s="154" t="str">
        <f>IF(C21="","",IF(SUM(C22:C$134)=0,C21-C$7+C$8+G$10+H21+R21,C21+H21+R21))</f>
        <v/>
      </c>
      <c r="H21" s="154"/>
      <c r="I21" s="155" t="str">
        <f t="shared" si="4"/>
        <v/>
      </c>
      <c r="J21" s="155" t="str">
        <f t="shared" si="5"/>
        <v/>
      </c>
      <c r="K21" s="155" t="str">
        <f>IF(M21="","",IF(B22="",SUM($J$13:$J21),SUM($J$13:$J21,$J22*(M21-A21)/(A22-A21))))</f>
        <v/>
      </c>
      <c r="L21" s="155" t="str">
        <f>IF(M21="","",IF(B22="",SUM($D$13:$D21,$R$12:$R21,$G$5:$G$10,$C$9,-$C$10),SUM($D$13:$D21,$R$12:$R21,$G$5:$G$10,$D22*(M21-A21)/(A22-A21),$C$9,-$C$10)))</f>
        <v/>
      </c>
      <c r="M21" s="157" t="str">
        <f t="shared" si="6"/>
        <v/>
      </c>
      <c r="N21" s="158" t="str">
        <f t="shared" si="3"/>
        <v/>
      </c>
      <c r="O21" s="164" t="str">
        <f t="shared" si="13"/>
        <v/>
      </c>
      <c r="P21" s="166" t="str">
        <f t="shared" si="14"/>
        <v/>
      </c>
      <c r="R21" s="154"/>
      <c r="S21" s="150" t="str">
        <f t="shared" si="7"/>
        <v/>
      </c>
      <c r="T21" s="151" t="str">
        <f t="shared" si="8"/>
        <v/>
      </c>
    </row>
    <row r="22" spans="1:20" ht="12.75" customHeight="1">
      <c r="A22" s="160" t="str">
        <f t="shared" si="9"/>
        <v/>
      </c>
      <c r="B22" s="161" t="str">
        <f>IF($E$5*$E$7&lt;10,"",10)</f>
        <v/>
      </c>
      <c r="C22" s="162" t="str">
        <f t="shared" si="15"/>
        <v/>
      </c>
      <c r="D22" s="162" t="str">
        <f t="shared" si="10"/>
        <v/>
      </c>
      <c r="E22" s="162" t="str">
        <f t="shared" si="11"/>
        <v/>
      </c>
      <c r="F22" s="163" t="str">
        <f t="shared" si="12"/>
        <v/>
      </c>
      <c r="G22" s="154" t="str">
        <f>IF(C22="","",IF(SUM(C23:C$134)=0,C22-C$7+C$8+G$10+H22+R22,C22+H22+R22))</f>
        <v/>
      </c>
      <c r="H22" s="154"/>
      <c r="I22" s="155" t="str">
        <f t="shared" si="4"/>
        <v/>
      </c>
      <c r="J22" s="155" t="str">
        <f t="shared" si="5"/>
        <v/>
      </c>
      <c r="K22" s="155" t="str">
        <f>IF(M22="","",IF(B23="",SUM($J$13:$J22),SUM($J$13:$J22,$J23*(M22-A22)/(A23-A22))))</f>
        <v/>
      </c>
      <c r="L22" s="155" t="str">
        <f>IF(M22="","",IF(B23="",SUM($D$13:$D22,$R$12:$R22,$G$5:$G$10,$C$9,-$C$10),SUM($D$13:$D22,$R$12:$R22,$G$5:$G$10,$D23*(M22-A22)/(A23-A22),$C$9,-$C$10)))</f>
        <v/>
      </c>
      <c r="M22" s="157" t="str">
        <f t="shared" si="6"/>
        <v/>
      </c>
      <c r="N22" s="158" t="str">
        <f t="shared" si="3"/>
        <v/>
      </c>
      <c r="O22" s="164" t="str">
        <f t="shared" si="13"/>
        <v/>
      </c>
      <c r="P22" s="166" t="str">
        <f t="shared" si="14"/>
        <v/>
      </c>
      <c r="R22" s="154"/>
      <c r="S22" s="150" t="str">
        <f t="shared" si="7"/>
        <v/>
      </c>
      <c r="T22" s="151" t="str">
        <f t="shared" si="8"/>
        <v/>
      </c>
    </row>
    <row r="23" spans="1:20" ht="12.75" customHeight="1">
      <c r="A23" s="160" t="str">
        <f t="shared" si="9"/>
        <v/>
      </c>
      <c r="B23" s="161" t="str">
        <f>IF($E$5*$E$7&lt;11,"",11)</f>
        <v/>
      </c>
      <c r="C23" s="162" t="str">
        <f t="shared" si="15"/>
        <v/>
      </c>
      <c r="D23" s="162" t="str">
        <f t="shared" si="10"/>
        <v/>
      </c>
      <c r="E23" s="162" t="str">
        <f t="shared" si="11"/>
        <v/>
      </c>
      <c r="F23" s="163" t="str">
        <f t="shared" si="12"/>
        <v/>
      </c>
      <c r="G23" s="154" t="str">
        <f>IF(C23="","",IF(SUM(C24:C$134)=0,C23-C$7+C$8+G$10+H23+R23,C23+H23+R23))</f>
        <v/>
      </c>
      <c r="H23" s="154"/>
      <c r="I23" s="155" t="str">
        <f t="shared" si="4"/>
        <v/>
      </c>
      <c r="J23" s="155" t="str">
        <f t="shared" si="5"/>
        <v/>
      </c>
      <c r="K23" s="155" t="str">
        <f>IF(M23="","",IF(B24="",SUM($J$13:$J23),SUM($J$13:$J23,$J24*(M23-A23)/(A24-A23))))</f>
        <v/>
      </c>
      <c r="L23" s="155" t="str">
        <f>IF(M23="","",IF(B24="",SUM($D$13:$D23,$R$12:$R23,$G$5:$G$10,$C$9,-$C$10),SUM($D$13:$D23,$R$12:$R23,$G$5:$G$10,$D24*(M23-A23)/(A24-A23),$C$9,-$C$10)))</f>
        <v/>
      </c>
      <c r="M23" s="157" t="str">
        <f t="shared" si="6"/>
        <v/>
      </c>
      <c r="N23" s="158" t="str">
        <f t="shared" si="3"/>
        <v/>
      </c>
      <c r="O23" s="164" t="str">
        <f t="shared" si="13"/>
        <v/>
      </c>
      <c r="P23" s="166" t="str">
        <f t="shared" si="14"/>
        <v/>
      </c>
      <c r="R23" s="154"/>
      <c r="S23" s="150" t="str">
        <f t="shared" si="7"/>
        <v/>
      </c>
      <c r="T23" s="151" t="str">
        <f t="shared" si="8"/>
        <v/>
      </c>
    </row>
    <row r="24" spans="1:20" ht="12.75" customHeight="1">
      <c r="A24" s="160" t="str">
        <f t="shared" si="9"/>
        <v/>
      </c>
      <c r="B24" s="161" t="str">
        <f>IF($E$5*$E$7&lt;12,"",12)</f>
        <v/>
      </c>
      <c r="C24" s="162" t="str">
        <f t="shared" si="15"/>
        <v/>
      </c>
      <c r="D24" s="162" t="str">
        <f t="shared" si="10"/>
        <v/>
      </c>
      <c r="E24" s="162" t="str">
        <f t="shared" si="11"/>
        <v/>
      </c>
      <c r="F24" s="163" t="str">
        <f t="shared" si="12"/>
        <v/>
      </c>
      <c r="G24" s="154" t="str">
        <f>IF(C24="","",IF(SUM(C25:C$134)=0,C24-C$7+C$8+G$10+H24+R24,C24+H24+R24))</f>
        <v/>
      </c>
      <c r="H24" s="154"/>
      <c r="I24" s="155" t="str">
        <f t="shared" si="4"/>
        <v/>
      </c>
      <c r="J24" s="155" t="str">
        <f t="shared" si="5"/>
        <v/>
      </c>
      <c r="K24" s="155" t="str">
        <f>IF(M24="","",IF(B25="",SUM($J$13:$J24),SUM($J$13:$J24,$J25*(M24-A24)/(A25-A24))))</f>
        <v/>
      </c>
      <c r="L24" s="155" t="str">
        <f>IF(M24="","",IF(B25="",SUM($D$13:$D24,$R$12:$R24,$G$5:$G$10,$C$9,-$C$10),SUM($D$13:$D24,$R$12:$R24,$G$5:$G$10,$D25*(M24-A24)/(A25-A24),$C$9,-$C$10)))</f>
        <v/>
      </c>
      <c r="M24" s="157" t="str">
        <f t="shared" si="6"/>
        <v/>
      </c>
      <c r="N24" s="158" t="str">
        <f t="shared" si="3"/>
        <v/>
      </c>
      <c r="O24" s="164" t="str">
        <f t="shared" si="13"/>
        <v/>
      </c>
      <c r="P24" s="166" t="str">
        <f t="shared" si="14"/>
        <v/>
      </c>
      <c r="R24" s="154"/>
      <c r="S24" s="150" t="str">
        <f t="shared" si="7"/>
        <v/>
      </c>
      <c r="T24" s="151" t="str">
        <f t="shared" si="8"/>
        <v/>
      </c>
    </row>
    <row r="25" spans="1:20" ht="12.75" customHeight="1">
      <c r="A25" s="160" t="str">
        <f t="shared" si="9"/>
        <v/>
      </c>
      <c r="B25" s="161" t="str">
        <f>IF($E$5*$E$7&lt;13,"",13)</f>
        <v/>
      </c>
      <c r="C25" s="162" t="str">
        <f t="shared" si="15"/>
        <v/>
      </c>
      <c r="D25" s="162" t="str">
        <f t="shared" si="10"/>
        <v/>
      </c>
      <c r="E25" s="162" t="str">
        <f t="shared" si="11"/>
        <v/>
      </c>
      <c r="F25" s="163" t="str">
        <f t="shared" si="12"/>
        <v/>
      </c>
      <c r="G25" s="154" t="str">
        <f>IF(C25="","",IF(SUM(C26:C$134)=0,C25-C$7+C$8+G$10+H25+R25,C25+H25+R25))</f>
        <v/>
      </c>
      <c r="H25" s="154"/>
      <c r="I25" s="155" t="str">
        <f t="shared" si="4"/>
        <v/>
      </c>
      <c r="J25" s="155" t="str">
        <f t="shared" si="5"/>
        <v/>
      </c>
      <c r="K25" s="155" t="str">
        <f>IF(M25="","",IF(B26="",SUM($J$13:$J25),SUM($J$13:$J25,$J26*(M25-A25)/(A26-A25))))</f>
        <v/>
      </c>
      <c r="L25" s="155" t="str">
        <f>IF(M25="","",IF(B26="",SUM($D$13:$D25,$R$12:$R25,$G$5:$G$10,$C$9,-$C$10),SUM($D$13:$D25,$R$12:$R25,$G$5:$G$10,$D26*(M25-A25)/(A26-A25),$C$9,-$C$10)))</f>
        <v/>
      </c>
      <c r="M25" s="157" t="str">
        <f t="shared" si="6"/>
        <v/>
      </c>
      <c r="N25" s="158" t="str">
        <f t="shared" si="3"/>
        <v/>
      </c>
      <c r="O25" s="164" t="str">
        <f t="shared" si="13"/>
        <v/>
      </c>
      <c r="P25" s="166" t="str">
        <f t="shared" si="14"/>
        <v/>
      </c>
      <c r="R25" s="154"/>
      <c r="S25" s="150" t="str">
        <f t="shared" si="7"/>
        <v/>
      </c>
      <c r="T25" s="151" t="str">
        <f t="shared" si="8"/>
        <v/>
      </c>
    </row>
    <row r="26" spans="1:20" ht="12.75" customHeight="1">
      <c r="A26" s="160" t="str">
        <f t="shared" si="9"/>
        <v/>
      </c>
      <c r="B26" s="161" t="str">
        <f>IF($E$5*$E$7&lt;14,"",14)</f>
        <v/>
      </c>
      <c r="C26" s="162" t="str">
        <f t="shared" si="15"/>
        <v/>
      </c>
      <c r="D26" s="162" t="str">
        <f t="shared" si="10"/>
        <v/>
      </c>
      <c r="E26" s="162" t="str">
        <f t="shared" si="11"/>
        <v/>
      </c>
      <c r="F26" s="163" t="str">
        <f t="shared" si="12"/>
        <v/>
      </c>
      <c r="G26" s="154" t="str">
        <f>IF(C26="","",IF(SUM(C27:C$134)=0,C26-C$7+C$8+G$10+H26+R26,C26+H26+R26))</f>
        <v/>
      </c>
      <c r="H26" s="154"/>
      <c r="I26" s="155" t="str">
        <f t="shared" si="4"/>
        <v/>
      </c>
      <c r="J26" s="155" t="str">
        <f t="shared" si="5"/>
        <v/>
      </c>
      <c r="K26" s="155" t="str">
        <f>IF(M26="","",IF(B27="",SUM($J$13:$J26),SUM($J$13:$J26,$J27*(M26-A26)/(A27-A26))))</f>
        <v/>
      </c>
      <c r="L26" s="155" t="str">
        <f>IF(M26="","",IF(B27="",SUM($D$13:$D26,$R$12:$R26,$G$5:$G$10,$C$9,-$C$10),SUM($D$13:$D26,$R$12:$R26,$G$5:$G$10,$D27*(M26-A26)/(A27-A26),$C$9,-$C$10)))</f>
        <v/>
      </c>
      <c r="M26" s="157" t="str">
        <f t="shared" si="6"/>
        <v/>
      </c>
      <c r="N26" s="158" t="str">
        <f t="shared" si="3"/>
        <v/>
      </c>
      <c r="O26" s="164" t="str">
        <f t="shared" si="13"/>
        <v/>
      </c>
      <c r="P26" s="166" t="str">
        <f t="shared" si="14"/>
        <v/>
      </c>
      <c r="R26" s="154"/>
      <c r="S26" s="150" t="str">
        <f t="shared" si="7"/>
        <v/>
      </c>
      <c r="T26" s="151" t="str">
        <f t="shared" si="8"/>
        <v/>
      </c>
    </row>
    <row r="27" spans="1:20" ht="12.75" customHeight="1">
      <c r="A27" s="160" t="str">
        <f t="shared" si="9"/>
        <v/>
      </c>
      <c r="B27" s="161" t="str">
        <f>IF($E$5*$E$7&lt;15,"",15)</f>
        <v/>
      </c>
      <c r="C27" s="162" t="str">
        <f t="shared" si="15"/>
        <v/>
      </c>
      <c r="D27" s="162" t="str">
        <f t="shared" si="10"/>
        <v/>
      </c>
      <c r="E27" s="162" t="str">
        <f t="shared" si="11"/>
        <v/>
      </c>
      <c r="F27" s="163" t="str">
        <f t="shared" si="12"/>
        <v/>
      </c>
      <c r="G27" s="154" t="str">
        <f>IF(C27="","",IF(SUM(C28:C$134)=0,C27-C$7+C$8+G$10+H27+R27,C27+H27+R27))</f>
        <v/>
      </c>
      <c r="H27" s="154"/>
      <c r="I27" s="155" t="str">
        <f t="shared" si="4"/>
        <v/>
      </c>
      <c r="J27" s="155" t="str">
        <f t="shared" si="5"/>
        <v/>
      </c>
      <c r="K27" s="155" t="str">
        <f>IF(M27="","",IF(B28="",SUM($J$13:$J27),SUM($J$13:$J27,$J28*(M27-A27)/(A28-A27))))</f>
        <v/>
      </c>
      <c r="L27" s="155" t="str">
        <f>IF(M27="","",IF(B28="",SUM($D$13:$D27,$R$12:$R27,$G$5:$G$10,$C$9,-$C$10),SUM($D$13:$D27,$R$12:$R27,$G$5:$G$10,$D28*(M27-A27)/(A28-A27),$C$9,-$C$10)))</f>
        <v/>
      </c>
      <c r="M27" s="157" t="str">
        <f t="shared" si="6"/>
        <v/>
      </c>
      <c r="N27" s="158" t="str">
        <f t="shared" si="3"/>
        <v/>
      </c>
      <c r="O27" s="164" t="str">
        <f t="shared" si="13"/>
        <v/>
      </c>
      <c r="P27" s="166" t="str">
        <f t="shared" si="14"/>
        <v/>
      </c>
      <c r="R27" s="154"/>
      <c r="S27" s="150" t="str">
        <f t="shared" si="7"/>
        <v/>
      </c>
      <c r="T27" s="151" t="str">
        <f t="shared" si="8"/>
        <v/>
      </c>
    </row>
    <row r="28" spans="1:20">
      <c r="A28" s="160" t="str">
        <f t="shared" si="9"/>
        <v/>
      </c>
      <c r="B28" s="161" t="str">
        <f>IF($E$5*$E$7&lt;16,"",16)</f>
        <v/>
      </c>
      <c r="C28" s="162" t="str">
        <f t="shared" si="15"/>
        <v/>
      </c>
      <c r="D28" s="162" t="str">
        <f t="shared" si="10"/>
        <v/>
      </c>
      <c r="E28" s="162" t="str">
        <f t="shared" si="11"/>
        <v/>
      </c>
      <c r="F28" s="163" t="str">
        <f t="shared" si="12"/>
        <v/>
      </c>
      <c r="G28" s="154" t="str">
        <f>IF(C28="","",IF(SUM(C29:C$134)=0,C28-C$7+C$8+G$10+H28+R28,C28+H28+R28))</f>
        <v/>
      </c>
      <c r="H28" s="154"/>
      <c r="I28" s="155" t="str">
        <f t="shared" si="4"/>
        <v/>
      </c>
      <c r="J28" s="155" t="str">
        <f t="shared" si="5"/>
        <v/>
      </c>
      <c r="K28" s="155" t="str">
        <f>IF(M28="","",IF(B29="",SUM($J$13:$J28),SUM($J$13:$J28,$J29*(M28-A28)/(A29-A28))))</f>
        <v/>
      </c>
      <c r="L28" s="155" t="str">
        <f>IF(M28="","",IF(B29="",SUM($D$13:$D28,$R$12:$R28,$G$5:$G$10,$C$9,-$C$10),SUM($D$13:$D28,$R$12:$R28,$G$5:$G$10,$D29*(M28-A28)/(A29-A28),$C$9,-$C$10)))</f>
        <v/>
      </c>
      <c r="M28" s="157" t="str">
        <f t="shared" si="6"/>
        <v/>
      </c>
      <c r="N28" s="158" t="str">
        <f t="shared" si="3"/>
        <v/>
      </c>
      <c r="O28" s="164" t="str">
        <f t="shared" si="13"/>
        <v/>
      </c>
      <c r="P28" s="166" t="str">
        <f t="shared" si="14"/>
        <v/>
      </c>
      <c r="R28" s="154"/>
      <c r="S28" s="150" t="str">
        <f t="shared" si="7"/>
        <v/>
      </c>
      <c r="T28" s="151" t="str">
        <f t="shared" si="8"/>
        <v/>
      </c>
    </row>
    <row r="29" spans="1:20">
      <c r="A29" s="160" t="str">
        <f t="shared" si="9"/>
        <v/>
      </c>
      <c r="B29" s="161" t="str">
        <f>IF($E$5*$E$7&lt;17,"",17)</f>
        <v/>
      </c>
      <c r="C29" s="162" t="str">
        <f t="shared" si="15"/>
        <v/>
      </c>
      <c r="D29" s="162" t="str">
        <f t="shared" si="10"/>
        <v/>
      </c>
      <c r="E29" s="162" t="str">
        <f t="shared" si="11"/>
        <v/>
      </c>
      <c r="F29" s="163" t="str">
        <f t="shared" si="12"/>
        <v/>
      </c>
      <c r="G29" s="154" t="str">
        <f>IF(C29="","",IF(SUM(C30:C$134)=0,C29-C$7+C$8+G$10+H29+R29,C29+H29+R29))</f>
        <v/>
      </c>
      <c r="H29" s="154"/>
      <c r="I29" s="155" t="str">
        <f t="shared" si="4"/>
        <v/>
      </c>
      <c r="J29" s="155" t="str">
        <f t="shared" si="5"/>
        <v/>
      </c>
      <c r="K29" s="155" t="str">
        <f>IF(M29="","",IF(B30="",SUM($J$13:$J29),SUM($J$13:$J29,$J30*(M29-A29)/(A30-A29))))</f>
        <v/>
      </c>
      <c r="L29" s="155" t="str">
        <f>IF(M29="","",IF(B30="",SUM($D$13:$D29,$R$12:$R29,$G$5:$G$10,$C$9,-$C$10),SUM($D$13:$D29,$R$12:$R29,$G$5:$G$10,$D30*(M29-A29)/(A30-A29),$C$9,-$C$10)))</f>
        <v/>
      </c>
      <c r="M29" s="157" t="str">
        <f t="shared" si="6"/>
        <v/>
      </c>
      <c r="N29" s="158" t="str">
        <f t="shared" si="3"/>
        <v/>
      </c>
      <c r="O29" s="164" t="str">
        <f t="shared" si="13"/>
        <v/>
      </c>
      <c r="P29" s="166" t="str">
        <f t="shared" si="14"/>
        <v/>
      </c>
      <c r="R29" s="154"/>
      <c r="S29" s="150" t="str">
        <f t="shared" si="7"/>
        <v/>
      </c>
      <c r="T29" s="151" t="str">
        <f t="shared" si="8"/>
        <v/>
      </c>
    </row>
    <row r="30" spans="1:20">
      <c r="A30" s="160" t="str">
        <f t="shared" si="9"/>
        <v/>
      </c>
      <c r="B30" s="161" t="str">
        <f>IF($E$5*$E$7&lt;18,"",18)</f>
        <v/>
      </c>
      <c r="C30" s="162" t="str">
        <f t="shared" si="15"/>
        <v/>
      </c>
      <c r="D30" s="162" t="str">
        <f t="shared" si="10"/>
        <v/>
      </c>
      <c r="E30" s="162" t="str">
        <f t="shared" si="11"/>
        <v/>
      </c>
      <c r="F30" s="163" t="str">
        <f t="shared" si="12"/>
        <v/>
      </c>
      <c r="G30" s="154" t="str">
        <f>IF(C30="","",IF(SUM(C31:C$134)=0,C30-C$7+C$8+G$10+H30+R30,C30+H30+R30))</f>
        <v/>
      </c>
      <c r="H30" s="154"/>
      <c r="I30" s="155" t="str">
        <f t="shared" si="4"/>
        <v/>
      </c>
      <c r="J30" s="155" t="str">
        <f t="shared" si="5"/>
        <v/>
      </c>
      <c r="K30" s="155" t="str">
        <f>IF(M30="","",IF(B31="",SUM($J$13:$J30),SUM($J$13:$J30,$J31*(M30-A30)/(A31-A30))))</f>
        <v/>
      </c>
      <c r="L30" s="155" t="str">
        <f>IF(M30="","",IF(B31="",SUM($D$13:$D30,$R$12:$R30,$G$5:$G$10,$C$9,-$C$10),SUM($D$13:$D30,$R$12:$R30,$G$5:$G$10,$D31*(M30-A30)/(A31-A30),$C$9,-$C$10)))</f>
        <v/>
      </c>
      <c r="M30" s="157" t="str">
        <f t="shared" si="6"/>
        <v/>
      </c>
      <c r="N30" s="158" t="str">
        <f t="shared" si="3"/>
        <v/>
      </c>
      <c r="O30" s="164" t="str">
        <f t="shared" si="13"/>
        <v/>
      </c>
      <c r="P30" s="166" t="str">
        <f t="shared" si="14"/>
        <v/>
      </c>
      <c r="R30" s="154"/>
      <c r="S30" s="150" t="str">
        <f t="shared" si="7"/>
        <v/>
      </c>
      <c r="T30" s="151" t="str">
        <f t="shared" si="8"/>
        <v/>
      </c>
    </row>
    <row r="31" spans="1:20">
      <c r="A31" s="160" t="str">
        <f t="shared" si="9"/>
        <v/>
      </c>
      <c r="B31" s="161" t="str">
        <f>IF($E$5*$E$7&lt;19,"",19)</f>
        <v/>
      </c>
      <c r="C31" s="162" t="str">
        <f t="shared" si="15"/>
        <v/>
      </c>
      <c r="D31" s="162" t="str">
        <f t="shared" si="10"/>
        <v/>
      </c>
      <c r="E31" s="162" t="str">
        <f t="shared" si="11"/>
        <v/>
      </c>
      <c r="F31" s="163" t="str">
        <f t="shared" si="12"/>
        <v/>
      </c>
      <c r="G31" s="154" t="str">
        <f>IF(C31="","",IF(SUM(C32:C$134)=0,C31-C$7+C$8+G$10+H31+R31,C31+H31+R31))</f>
        <v/>
      </c>
      <c r="H31" s="154"/>
      <c r="I31" s="155" t="str">
        <f t="shared" si="4"/>
        <v/>
      </c>
      <c r="J31" s="155" t="str">
        <f t="shared" si="5"/>
        <v/>
      </c>
      <c r="K31" s="155" t="str">
        <f>IF(M31="","",IF(B32="",SUM($J$13:$J31),SUM($J$13:$J31,$J32*(M31-A31)/(A32-A31))))</f>
        <v/>
      </c>
      <c r="L31" s="155" t="str">
        <f>IF(M31="","",IF(B32="",SUM($D$13:$D31,$R$12:$R31,$G$5:$G$10,$C$9,-$C$10),SUM($D$13:$D31,$R$12:$R31,$G$5:$G$10,$D32*(M31-A31)/(A32-A31),$C$9,-$C$10)))</f>
        <v/>
      </c>
      <c r="M31" s="157" t="str">
        <f t="shared" si="6"/>
        <v/>
      </c>
      <c r="N31" s="158" t="str">
        <f t="shared" si="3"/>
        <v/>
      </c>
      <c r="O31" s="164" t="str">
        <f t="shared" si="13"/>
        <v/>
      </c>
      <c r="P31" s="166" t="str">
        <f t="shared" si="14"/>
        <v/>
      </c>
      <c r="R31" s="154"/>
      <c r="S31" s="150" t="str">
        <f t="shared" si="7"/>
        <v/>
      </c>
      <c r="T31" s="151" t="str">
        <f t="shared" si="8"/>
        <v/>
      </c>
    </row>
    <row r="32" spans="1:20">
      <c r="A32" s="160" t="str">
        <f t="shared" si="9"/>
        <v/>
      </c>
      <c r="B32" s="161" t="str">
        <f>IF($E$5*$E$7&lt;20,"",20)</f>
        <v/>
      </c>
      <c r="C32" s="162" t="str">
        <f t="shared" si="15"/>
        <v/>
      </c>
      <c r="D32" s="162" t="str">
        <f t="shared" si="10"/>
        <v/>
      </c>
      <c r="E32" s="162" t="str">
        <f t="shared" si="11"/>
        <v/>
      </c>
      <c r="F32" s="163" t="str">
        <f t="shared" si="12"/>
        <v/>
      </c>
      <c r="G32" s="154" t="str">
        <f>IF(C32="","",IF(SUM(C33:C$134)=0,C32-C$7+C$8+G$10+H32+R32,C32+H32+R32))</f>
        <v/>
      </c>
      <c r="H32" s="154"/>
      <c r="I32" s="155" t="str">
        <f t="shared" si="4"/>
        <v/>
      </c>
      <c r="J32" s="155" t="str">
        <f t="shared" si="5"/>
        <v/>
      </c>
      <c r="K32" s="155" t="str">
        <f>IF(M32="","",IF(B33="",SUM($J$13:$J32),SUM($J$13:$J32,$J33*(M32-A32)/(A33-A32))))</f>
        <v/>
      </c>
      <c r="L32" s="155" t="str">
        <f>IF(M32="","",IF(B33="",SUM($D$13:$D32,$R$12:$R32,$G$5:$G$10,$C$9,-$C$10),SUM($D$13:$D32,$R$12:$R32,$G$5:$G$10,$D33*(M32-A32)/(A33-A32),$C$9,-$C$10)))</f>
        <v/>
      </c>
      <c r="M32" s="157" t="str">
        <f t="shared" si="6"/>
        <v/>
      </c>
      <c r="N32" s="158" t="str">
        <f t="shared" si="3"/>
        <v/>
      </c>
      <c r="O32" s="164" t="str">
        <f t="shared" si="13"/>
        <v/>
      </c>
      <c r="P32" s="166" t="str">
        <f t="shared" si="14"/>
        <v/>
      </c>
      <c r="R32" s="154"/>
      <c r="S32" s="150" t="str">
        <f t="shared" si="7"/>
        <v/>
      </c>
      <c r="T32" s="151" t="str">
        <f t="shared" si="8"/>
        <v/>
      </c>
    </row>
    <row r="33" spans="1:20">
      <c r="A33" s="160" t="str">
        <f t="shared" si="9"/>
        <v/>
      </c>
      <c r="B33" s="161" t="str">
        <f>IF($E$5*$E$7&lt;21,"",21)</f>
        <v/>
      </c>
      <c r="C33" s="162" t="str">
        <f t="shared" si="15"/>
        <v/>
      </c>
      <c r="D33" s="162" t="str">
        <f t="shared" si="10"/>
        <v/>
      </c>
      <c r="E33" s="162" t="str">
        <f t="shared" si="11"/>
        <v/>
      </c>
      <c r="F33" s="163" t="str">
        <f t="shared" si="12"/>
        <v/>
      </c>
      <c r="G33" s="154" t="str">
        <f>IF(C33="","",IF(SUM(C34:C$134)=0,C33-C$7+C$8+G$10+H33+R33,C33+H33+R33))</f>
        <v/>
      </c>
      <c r="H33" s="154"/>
      <c r="I33" s="155" t="str">
        <f t="shared" si="4"/>
        <v/>
      </c>
      <c r="J33" s="155" t="str">
        <f t="shared" si="5"/>
        <v/>
      </c>
      <c r="K33" s="155" t="str">
        <f>IF(M33="","",IF(B34="",SUM($J$13:$J33),SUM($J$13:$J33,$J34*(M33-A33)/(A34-A33))))</f>
        <v/>
      </c>
      <c r="L33" s="155" t="str">
        <f>IF(M33="","",IF(B34="",SUM($D$13:$D33,$R$12:$R33,$G$5:$G$10,$C$9,-$C$10),SUM($D$13:$D33,$R$12:$R33,$G$5:$G$10,$D34*(M33-A33)/(A34-A33),$C$9,-$C$10)))</f>
        <v/>
      </c>
      <c r="M33" s="157" t="str">
        <f t="shared" si="6"/>
        <v/>
      </c>
      <c r="N33" s="158" t="str">
        <f t="shared" si="3"/>
        <v/>
      </c>
      <c r="O33" s="164" t="str">
        <f t="shared" si="13"/>
        <v/>
      </c>
      <c r="P33" s="166" t="str">
        <f t="shared" si="14"/>
        <v/>
      </c>
      <c r="Q33" s="60"/>
      <c r="R33" s="154"/>
      <c r="S33" s="150" t="str">
        <f t="shared" si="7"/>
        <v/>
      </c>
      <c r="T33" s="151" t="str">
        <f t="shared" si="8"/>
        <v/>
      </c>
    </row>
    <row r="34" spans="1:20">
      <c r="A34" s="160" t="str">
        <f t="shared" si="9"/>
        <v/>
      </c>
      <c r="B34" s="161" t="str">
        <f>IF($E$5*$E$7&lt;22,"",22)</f>
        <v/>
      </c>
      <c r="C34" s="162" t="str">
        <f t="shared" ref="C34:C78" si="16">IF(B34="","",IF($K$2=1,ROUND(D34+E34,2),ROUND(C33,2)))</f>
        <v/>
      </c>
      <c r="D34" s="162" t="str">
        <f t="shared" si="10"/>
        <v/>
      </c>
      <c r="E34" s="162" t="str">
        <f t="shared" si="11"/>
        <v/>
      </c>
      <c r="F34" s="163" t="str">
        <f t="shared" si="12"/>
        <v/>
      </c>
      <c r="G34" s="154" t="str">
        <f>IF(C34="","",IF(SUM(C35:C$134)=0,C34-C$7+C$8+G$10+H34+R34,C34+H34+R34))</f>
        <v/>
      </c>
      <c r="H34" s="154"/>
      <c r="I34" s="155" t="str">
        <f t="shared" si="4"/>
        <v/>
      </c>
      <c r="J34" s="155" t="str">
        <f t="shared" si="5"/>
        <v/>
      </c>
      <c r="K34" s="155" t="str">
        <f>IF(M34="","",IF(B35="",SUM($J$13:$J34),SUM($J$13:$J34,$J35*(M34-A34)/(A35-A34))))</f>
        <v/>
      </c>
      <c r="L34" s="155" t="str">
        <f>IF(M34="","",IF(B35="",SUM($D$13:$D34,$R$12:$R34,$G$5:$G$10,$C$9,-$C$10),SUM($D$13:$D34,$R$12:$R34,$G$5:$G$10,$D35*(M34-A34)/(A35-A34),$C$9,-$C$10)))</f>
        <v/>
      </c>
      <c r="M34" s="157" t="str">
        <f t="shared" si="6"/>
        <v/>
      </c>
      <c r="N34" s="158" t="str">
        <f t="shared" si="3"/>
        <v/>
      </c>
      <c r="O34" s="164" t="str">
        <f t="shared" si="13"/>
        <v/>
      </c>
      <c r="P34" s="166" t="str">
        <f t="shared" si="14"/>
        <v/>
      </c>
      <c r="R34" s="154"/>
      <c r="S34" s="150" t="str">
        <f t="shared" si="7"/>
        <v/>
      </c>
      <c r="T34" s="151" t="str">
        <f t="shared" si="8"/>
        <v/>
      </c>
    </row>
    <row r="35" spans="1:20">
      <c r="A35" s="160" t="str">
        <f t="shared" si="9"/>
        <v/>
      </c>
      <c r="B35" s="161" t="str">
        <f>IF($E$5*$E$7&lt;23,"",23)</f>
        <v/>
      </c>
      <c r="C35" s="162" t="str">
        <f t="shared" si="16"/>
        <v/>
      </c>
      <c r="D35" s="162" t="str">
        <f t="shared" si="10"/>
        <v/>
      </c>
      <c r="E35" s="162" t="str">
        <f t="shared" si="11"/>
        <v/>
      </c>
      <c r="F35" s="163" t="str">
        <f t="shared" si="12"/>
        <v/>
      </c>
      <c r="G35" s="154" t="str">
        <f>IF(C35="","",IF(SUM(C36:C$134)=0,C35-C$7+C$8+G$10+H35+R35,C35+H35+R35))</f>
        <v/>
      </c>
      <c r="H35" s="154"/>
      <c r="I35" s="155" t="str">
        <f t="shared" si="4"/>
        <v/>
      </c>
      <c r="J35" s="155" t="str">
        <f t="shared" si="5"/>
        <v/>
      </c>
      <c r="K35" s="155" t="str">
        <f>IF(M35="","",IF(B36="",SUM($J$13:$J35),SUM($J$13:$J35,$J36*(M35-A35)/(A36-A35))))</f>
        <v/>
      </c>
      <c r="L35" s="155" t="str">
        <f>IF(M35="","",IF(B36="",SUM($D$13:$D35,$R$12:$R35,$G$5:$G$10,$C$9,-$C$10),SUM($D$13:$D35,$R$12:$R35,$G$5:$G$10,$D36*(M35-A35)/(A36-A35),$C$9,-$C$10)))</f>
        <v/>
      </c>
      <c r="M35" s="157" t="str">
        <f t="shared" si="6"/>
        <v/>
      </c>
      <c r="N35" s="158" t="str">
        <f t="shared" si="3"/>
        <v/>
      </c>
      <c r="O35" s="164" t="str">
        <f t="shared" si="13"/>
        <v/>
      </c>
      <c r="P35" s="166" t="str">
        <f t="shared" si="14"/>
        <v/>
      </c>
      <c r="R35" s="154"/>
      <c r="S35" s="150" t="str">
        <f t="shared" si="7"/>
        <v/>
      </c>
      <c r="T35" s="151" t="str">
        <f t="shared" si="8"/>
        <v/>
      </c>
    </row>
    <row r="36" spans="1:20">
      <c r="A36" s="160" t="str">
        <f t="shared" si="9"/>
        <v/>
      </c>
      <c r="B36" s="161" t="str">
        <f>IF($E$5*$E$7&lt;24,"",24)</f>
        <v/>
      </c>
      <c r="C36" s="162" t="str">
        <f t="shared" si="16"/>
        <v/>
      </c>
      <c r="D36" s="162" t="str">
        <f t="shared" si="10"/>
        <v/>
      </c>
      <c r="E36" s="162" t="str">
        <f t="shared" si="11"/>
        <v/>
      </c>
      <c r="F36" s="163" t="str">
        <f t="shared" si="12"/>
        <v/>
      </c>
      <c r="G36" s="154" t="str">
        <f>IF(C36="","",IF(SUM(C37:C$134)=0,C36-C$7+C$8+G$10+H36+R36,C36+H36+R36))</f>
        <v/>
      </c>
      <c r="H36" s="154"/>
      <c r="I36" s="155" t="str">
        <f t="shared" si="4"/>
        <v/>
      </c>
      <c r="J36" s="155" t="str">
        <f t="shared" si="5"/>
        <v/>
      </c>
      <c r="K36" s="155" t="str">
        <f>IF(M36="","",IF(B37="",SUM($J$13:$J36),SUM($J$13:$J36,$J37*(M36-A36)/(A37-A36))))</f>
        <v/>
      </c>
      <c r="L36" s="155" t="str">
        <f>IF(M36="","",IF(B37="",SUM($D$13:$D36,$R$12:$R36,$G$5:$G$10,$C$9,-$C$10),SUM($D$13:$D36,$R$12:$R36,$G$5:$G$10,$D37*(M36-A36)/(A37-A36),$C$9,-$C$10)))</f>
        <v/>
      </c>
      <c r="M36" s="157" t="str">
        <f t="shared" si="6"/>
        <v/>
      </c>
      <c r="N36" s="158" t="str">
        <f t="shared" si="3"/>
        <v/>
      </c>
      <c r="O36" s="164" t="str">
        <f t="shared" si="13"/>
        <v/>
      </c>
      <c r="P36" s="166" t="str">
        <f t="shared" si="14"/>
        <v/>
      </c>
      <c r="R36" s="154"/>
      <c r="S36" s="150" t="str">
        <f t="shared" si="7"/>
        <v/>
      </c>
      <c r="T36" s="151" t="str">
        <f t="shared" si="8"/>
        <v/>
      </c>
    </row>
    <row r="37" spans="1:20">
      <c r="A37" s="160" t="str">
        <f t="shared" si="9"/>
        <v/>
      </c>
      <c r="B37" s="161" t="str">
        <f>IF($E$5*$E$7&lt;25,"",25)</f>
        <v/>
      </c>
      <c r="C37" s="162" t="str">
        <f t="shared" si="16"/>
        <v/>
      </c>
      <c r="D37" s="162" t="str">
        <f t="shared" si="10"/>
        <v/>
      </c>
      <c r="E37" s="162" t="str">
        <f t="shared" si="11"/>
        <v/>
      </c>
      <c r="F37" s="163" t="str">
        <f t="shared" si="12"/>
        <v/>
      </c>
      <c r="G37" s="154" t="str">
        <f>IF(C37="","",IF(SUM(C38:C$134)=0,C37-C$7+C$8+G$10+H37+R37,C37+H37+R37))</f>
        <v/>
      </c>
      <c r="H37" s="154"/>
      <c r="I37" s="155" t="str">
        <f t="shared" si="4"/>
        <v/>
      </c>
      <c r="J37" s="155" t="str">
        <f t="shared" si="5"/>
        <v/>
      </c>
      <c r="K37" s="155" t="str">
        <f>IF(M37="","",IF(B38="",SUM($J$13:$J37),SUM($J$13:$J37,$J38*(M37-A37)/(A38-A37))))</f>
        <v/>
      </c>
      <c r="L37" s="155" t="str">
        <f>IF(M37="","",IF(B38="",SUM($D$13:$D37,$R$12:$R37,$G$5:$G$10,$C$9,-$C$10),SUM($D$13:$D37,$R$12:$R37,$G$5:$G$10,$D38*(M37-A37)/(A38-A37),$C$9,-$C$10)))</f>
        <v/>
      </c>
      <c r="M37" s="157" t="str">
        <f t="shared" si="6"/>
        <v/>
      </c>
      <c r="N37" s="158" t="str">
        <f t="shared" si="3"/>
        <v/>
      </c>
      <c r="O37" s="164" t="str">
        <f t="shared" si="13"/>
        <v/>
      </c>
      <c r="P37" s="166" t="str">
        <f t="shared" si="14"/>
        <v/>
      </c>
      <c r="R37" s="154"/>
      <c r="S37" s="150" t="str">
        <f t="shared" si="7"/>
        <v/>
      </c>
      <c r="T37" s="151" t="str">
        <f t="shared" si="8"/>
        <v/>
      </c>
    </row>
    <row r="38" spans="1:20">
      <c r="A38" s="160" t="str">
        <f t="shared" si="9"/>
        <v/>
      </c>
      <c r="B38" s="161" t="str">
        <f>IF($E$5*$E$7&lt;26,"",26)</f>
        <v/>
      </c>
      <c r="C38" s="162" t="str">
        <f t="shared" si="16"/>
        <v/>
      </c>
      <c r="D38" s="162" t="str">
        <f t="shared" si="10"/>
        <v/>
      </c>
      <c r="E38" s="162" t="str">
        <f t="shared" si="11"/>
        <v/>
      </c>
      <c r="F38" s="163" t="str">
        <f t="shared" si="12"/>
        <v/>
      </c>
      <c r="G38" s="154" t="str">
        <f>IF(C38="","",IF(SUM(C39:C$134)=0,C38-C$7+C$8+G$10+H38+R38,C38+H38+R38))</f>
        <v/>
      </c>
      <c r="H38" s="154"/>
      <c r="I38" s="155" t="str">
        <f t="shared" si="4"/>
        <v/>
      </c>
      <c r="J38" s="155" t="str">
        <f t="shared" si="5"/>
        <v/>
      </c>
      <c r="K38" s="155" t="str">
        <f>IF(M38="","",IF(B39="",SUM($J$13:$J38),SUM($J$13:$J38,$J39*(M38-A38)/(A39-A38))))</f>
        <v/>
      </c>
      <c r="L38" s="155" t="str">
        <f>IF(M38="","",IF(B39="",SUM($D$13:$D38,$R$12:$R38,$G$5:$G$10,$C$9,-$C$10),SUM($D$13:$D38,$R$12:$R38,$G$5:$G$10,$D39*(M38-A38)/(A39-A38),$C$9,-$C$10)))</f>
        <v/>
      </c>
      <c r="M38" s="157" t="str">
        <f t="shared" si="6"/>
        <v/>
      </c>
      <c r="N38" s="158" t="str">
        <f t="shared" si="3"/>
        <v/>
      </c>
      <c r="O38" s="164" t="str">
        <f t="shared" si="13"/>
        <v/>
      </c>
      <c r="P38" s="166" t="str">
        <f t="shared" si="14"/>
        <v/>
      </c>
      <c r="R38" s="154"/>
      <c r="S38" s="150" t="str">
        <f t="shared" si="7"/>
        <v/>
      </c>
      <c r="T38" s="151" t="str">
        <f t="shared" si="8"/>
        <v/>
      </c>
    </row>
    <row r="39" spans="1:20">
      <c r="A39" s="160" t="str">
        <f t="shared" si="9"/>
        <v/>
      </c>
      <c r="B39" s="161" t="str">
        <f>IF($E$5*$E$7&lt;27,"",27)</f>
        <v/>
      </c>
      <c r="C39" s="162" t="str">
        <f t="shared" si="16"/>
        <v/>
      </c>
      <c r="D39" s="162" t="str">
        <f t="shared" si="10"/>
        <v/>
      </c>
      <c r="E39" s="162" t="str">
        <f t="shared" si="11"/>
        <v/>
      </c>
      <c r="F39" s="163" t="str">
        <f t="shared" si="12"/>
        <v/>
      </c>
      <c r="G39" s="154" t="str">
        <f>IF(C39="","",IF(SUM(C40:C$134)=0,C39-C$7+C$8+G$10+H39+R39,C39+H39+R39))</f>
        <v/>
      </c>
      <c r="H39" s="154"/>
      <c r="I39" s="155" t="str">
        <f t="shared" si="4"/>
        <v/>
      </c>
      <c r="J39" s="155" t="str">
        <f t="shared" si="5"/>
        <v/>
      </c>
      <c r="K39" s="155" t="str">
        <f>IF(M39="","",IF(B40="",SUM($J$13:$J39),SUM($J$13:$J39,$J40*(M39-A39)/(A40-A39))))</f>
        <v/>
      </c>
      <c r="L39" s="155" t="str">
        <f>IF(M39="","",IF(B40="",SUM($D$13:$D39,$R$12:$R39,$G$5:$G$10,$C$9,-$C$10),SUM($D$13:$D39,$R$12:$R39,$G$5:$G$10,$D40*(M39-A39)/(A40-A39),$C$9,-$C$10)))</f>
        <v/>
      </c>
      <c r="M39" s="157" t="str">
        <f t="shared" si="6"/>
        <v/>
      </c>
      <c r="N39" s="158" t="str">
        <f t="shared" si="3"/>
        <v/>
      </c>
      <c r="O39" s="164" t="str">
        <f t="shared" si="13"/>
        <v/>
      </c>
      <c r="P39" s="166" t="str">
        <f t="shared" si="14"/>
        <v/>
      </c>
      <c r="R39" s="154"/>
      <c r="S39" s="150" t="str">
        <f t="shared" si="7"/>
        <v/>
      </c>
      <c r="T39" s="151" t="str">
        <f t="shared" si="8"/>
        <v/>
      </c>
    </row>
    <row r="40" spans="1:20">
      <c r="A40" s="160" t="str">
        <f t="shared" si="9"/>
        <v/>
      </c>
      <c r="B40" s="161" t="str">
        <f>IF($E$5*$E$7&lt;28,"",28)</f>
        <v/>
      </c>
      <c r="C40" s="162" t="str">
        <f t="shared" si="16"/>
        <v/>
      </c>
      <c r="D40" s="162" t="str">
        <f t="shared" si="10"/>
        <v/>
      </c>
      <c r="E40" s="162" t="str">
        <f t="shared" si="11"/>
        <v/>
      </c>
      <c r="F40" s="163" t="str">
        <f t="shared" si="12"/>
        <v/>
      </c>
      <c r="G40" s="154" t="str">
        <f>IF(C40="","",IF(SUM(C41:C$134)=0,C40-C$7+C$8+G$10+H40+R40,C40+H40+R40))</f>
        <v/>
      </c>
      <c r="H40" s="154"/>
      <c r="I40" s="155" t="str">
        <f t="shared" si="4"/>
        <v/>
      </c>
      <c r="J40" s="155" t="str">
        <f t="shared" si="5"/>
        <v/>
      </c>
      <c r="K40" s="155" t="str">
        <f>IF(M40="","",IF(B41="",SUM($J$13:$J40),SUM($J$13:$J40,$J41*(M40-A40)/(A41-A40))))</f>
        <v/>
      </c>
      <c r="L40" s="155" t="str">
        <f>IF(M40="","",IF(B41="",SUM($D$13:$D40,$R$12:$R40,$G$5:$G$10,$C$9,-$C$10),SUM($D$13:$D40,$R$12:$R40,$G$5:$G$10,$D41*(M40-A40)/(A41-A40),$C$9,-$C$10)))</f>
        <v/>
      </c>
      <c r="M40" s="157" t="str">
        <f t="shared" si="6"/>
        <v/>
      </c>
      <c r="N40" s="158" t="str">
        <f t="shared" si="3"/>
        <v/>
      </c>
      <c r="O40" s="164" t="str">
        <f t="shared" si="13"/>
        <v/>
      </c>
      <c r="P40" s="166" t="str">
        <f t="shared" si="14"/>
        <v/>
      </c>
      <c r="R40" s="154"/>
      <c r="S40" s="150" t="str">
        <f t="shared" si="7"/>
        <v/>
      </c>
      <c r="T40" s="151" t="str">
        <f t="shared" si="8"/>
        <v/>
      </c>
    </row>
    <row r="41" spans="1:20">
      <c r="A41" s="160" t="str">
        <f t="shared" si="9"/>
        <v/>
      </c>
      <c r="B41" s="161" t="str">
        <f>IF($E$5*$E$7&lt;29,"",29)</f>
        <v/>
      </c>
      <c r="C41" s="162" t="str">
        <f t="shared" si="16"/>
        <v/>
      </c>
      <c r="D41" s="162" t="str">
        <f t="shared" si="10"/>
        <v/>
      </c>
      <c r="E41" s="162" t="str">
        <f t="shared" si="11"/>
        <v/>
      </c>
      <c r="F41" s="163" t="str">
        <f t="shared" si="12"/>
        <v/>
      </c>
      <c r="G41" s="154" t="str">
        <f>IF(C41="","",IF(SUM(C42:C$134)=0,C41-C$7+C$8+G$10+H41+R41,C41+H41+R41))</f>
        <v/>
      </c>
      <c r="H41" s="154"/>
      <c r="I41" s="155" t="str">
        <f t="shared" si="4"/>
        <v/>
      </c>
      <c r="J41" s="155" t="str">
        <f t="shared" si="5"/>
        <v/>
      </c>
      <c r="K41" s="155" t="str">
        <f>IF(M41="","",IF(B42="",SUM($J$13:$J41),SUM($J$13:$J41,$J42*(M41-A41)/(A42-A41))))</f>
        <v/>
      </c>
      <c r="L41" s="155" t="str">
        <f>IF(M41="","",IF(B42="",SUM($D$13:$D41,$R$12:$R41,$G$5:$G$10,$C$9,-$C$10),SUM($D$13:$D41,$R$12:$R41,$G$5:$G$10,$D42*(M41-A41)/(A42-A41),$C$9,-$C$10)))</f>
        <v/>
      </c>
      <c r="M41" s="157" t="str">
        <f t="shared" si="6"/>
        <v/>
      </c>
      <c r="N41" s="158" t="str">
        <f t="shared" si="3"/>
        <v/>
      </c>
      <c r="O41" s="164" t="str">
        <f t="shared" si="13"/>
        <v/>
      </c>
      <c r="P41" s="166" t="str">
        <f t="shared" si="14"/>
        <v/>
      </c>
      <c r="R41" s="154"/>
      <c r="S41" s="150" t="str">
        <f t="shared" si="7"/>
        <v/>
      </c>
      <c r="T41" s="151" t="str">
        <f t="shared" si="8"/>
        <v/>
      </c>
    </row>
    <row r="42" spans="1:20">
      <c r="A42" s="160" t="str">
        <f t="shared" si="9"/>
        <v/>
      </c>
      <c r="B42" s="161" t="str">
        <f>IF($E$5*$E$7&lt;30,"",30)</f>
        <v/>
      </c>
      <c r="C42" s="162" t="str">
        <f t="shared" si="16"/>
        <v/>
      </c>
      <c r="D42" s="162" t="str">
        <f t="shared" si="10"/>
        <v/>
      </c>
      <c r="E42" s="162" t="str">
        <f t="shared" si="11"/>
        <v/>
      </c>
      <c r="F42" s="163" t="str">
        <f t="shared" si="12"/>
        <v/>
      </c>
      <c r="G42" s="154" t="str">
        <f>IF(C42="","",IF(SUM(C43:C$134)=0,C42-C$7+C$8+G$10+H42+R42,C42+H42+R42))</f>
        <v/>
      </c>
      <c r="H42" s="154"/>
      <c r="I42" s="155" t="str">
        <f t="shared" si="4"/>
        <v/>
      </c>
      <c r="J42" s="155" t="str">
        <f t="shared" si="5"/>
        <v/>
      </c>
      <c r="K42" s="155" t="str">
        <f>IF(M42="","",IF(B43="",SUM($J$13:$J42),SUM($J$13:$J42,$J43*(M42-A42)/(A43-A42))))</f>
        <v/>
      </c>
      <c r="L42" s="155" t="str">
        <f>IF(M42="","",IF(B43="",SUM($D$13:$D42,$R$12:$R42,$G$5:$G$10,$C$9,-$C$10),SUM($D$13:$D42,$R$12:$R42,$G$5:$G$10,$D43*(M42-A42)/(A43-A42),$C$9,-$C$10)))</f>
        <v/>
      </c>
      <c r="M42" s="157" t="str">
        <f t="shared" si="6"/>
        <v/>
      </c>
      <c r="N42" s="158" t="str">
        <f t="shared" si="3"/>
        <v/>
      </c>
      <c r="O42" s="164" t="str">
        <f t="shared" si="13"/>
        <v/>
      </c>
      <c r="P42" s="166" t="str">
        <f t="shared" si="14"/>
        <v/>
      </c>
      <c r="R42" s="154"/>
      <c r="S42" s="150" t="str">
        <f t="shared" si="7"/>
        <v/>
      </c>
      <c r="T42" s="151" t="str">
        <f t="shared" si="8"/>
        <v/>
      </c>
    </row>
    <row r="43" spans="1:20">
      <c r="A43" s="160" t="str">
        <f t="shared" si="9"/>
        <v/>
      </c>
      <c r="B43" s="161" t="str">
        <f>IF($E$5*$E$7&lt;31,"",31)</f>
        <v/>
      </c>
      <c r="C43" s="162" t="str">
        <f t="shared" si="16"/>
        <v/>
      </c>
      <c r="D43" s="162" t="str">
        <f t="shared" si="10"/>
        <v/>
      </c>
      <c r="E43" s="162" t="str">
        <f t="shared" si="11"/>
        <v/>
      </c>
      <c r="F43" s="163" t="str">
        <f t="shared" si="12"/>
        <v/>
      </c>
      <c r="G43" s="154" t="str">
        <f>IF(C43="","",IF(SUM(C44:C$134)=0,C43-C$7+C$8+G$10+H43+R43,C43+H43+R43))</f>
        <v/>
      </c>
      <c r="H43" s="154"/>
      <c r="I43" s="155" t="str">
        <f t="shared" si="4"/>
        <v/>
      </c>
      <c r="J43" s="155" t="str">
        <f t="shared" si="5"/>
        <v/>
      </c>
      <c r="K43" s="155" t="str">
        <f>IF(M43="","",IF(B44="",SUM($J$13:$J43),SUM($J$13:$J43,$J44*(M43-A43)/(A44-A43))))</f>
        <v/>
      </c>
      <c r="L43" s="155" t="str">
        <f>IF(M43="","",IF(B44="",SUM($D$13:$D43,$R$12:$R43,$G$5:$G$10,$C$9,-$C$10),SUM($D$13:$D43,$R$12:$R43,$G$5:$G$10,$D44*(M43-A43)/(A44-A43),$C$9,-$C$10)))</f>
        <v/>
      </c>
      <c r="M43" s="157" t="str">
        <f t="shared" si="6"/>
        <v/>
      </c>
      <c r="N43" s="158" t="str">
        <f t="shared" si="3"/>
        <v/>
      </c>
      <c r="O43" s="164" t="str">
        <f t="shared" si="13"/>
        <v/>
      </c>
      <c r="P43" s="166" t="str">
        <f t="shared" si="14"/>
        <v/>
      </c>
      <c r="R43" s="154"/>
      <c r="S43" s="150" t="str">
        <f t="shared" si="7"/>
        <v/>
      </c>
      <c r="T43" s="151" t="str">
        <f t="shared" si="8"/>
        <v/>
      </c>
    </row>
    <row r="44" spans="1:20">
      <c r="A44" s="160" t="str">
        <f t="shared" si="9"/>
        <v/>
      </c>
      <c r="B44" s="161" t="str">
        <f>IF($E$5*$E$7&lt;32,"",32)</f>
        <v/>
      </c>
      <c r="C44" s="162" t="str">
        <f t="shared" si="16"/>
        <v/>
      </c>
      <c r="D44" s="162" t="str">
        <f t="shared" si="10"/>
        <v/>
      </c>
      <c r="E44" s="162" t="str">
        <f t="shared" si="11"/>
        <v/>
      </c>
      <c r="F44" s="163" t="str">
        <f t="shared" si="12"/>
        <v/>
      </c>
      <c r="G44" s="154" t="str">
        <f>IF(C44="","",IF(SUM(C45:C$134)=0,C44-C$7+C$8+G$10+H44+R44,C44+H44+R44))</f>
        <v/>
      </c>
      <c r="H44" s="154"/>
      <c r="I44" s="155" t="str">
        <f t="shared" si="4"/>
        <v/>
      </c>
      <c r="J44" s="155" t="str">
        <f t="shared" si="5"/>
        <v/>
      </c>
      <c r="K44" s="155" t="str">
        <f>IF(M44="","",IF(B45="",SUM($J$13:$J44),SUM($J$13:$J44,$J45*(M44-A44)/(A45-A44))))</f>
        <v/>
      </c>
      <c r="L44" s="155" t="str">
        <f>IF(M44="","",IF(B45="",SUM($D$13:$D44,$R$12:$R44,$G$5:$G$10,$C$9,-$C$10),SUM($D$13:$D44,$R$12:$R44,$G$5:$G$10,$D45*(M44-A44)/(A45-A44),$C$9,-$C$10)))</f>
        <v/>
      </c>
      <c r="M44" s="157" t="str">
        <f t="shared" si="6"/>
        <v/>
      </c>
      <c r="N44" s="158" t="str">
        <f t="shared" si="3"/>
        <v/>
      </c>
      <c r="O44" s="164" t="str">
        <f t="shared" si="13"/>
        <v/>
      </c>
      <c r="P44" s="166" t="str">
        <f t="shared" si="14"/>
        <v/>
      </c>
      <c r="R44" s="154"/>
      <c r="S44" s="150" t="str">
        <f t="shared" si="7"/>
        <v/>
      </c>
      <c r="T44" s="151" t="str">
        <f t="shared" si="8"/>
        <v/>
      </c>
    </row>
    <row r="45" spans="1:20">
      <c r="A45" s="160" t="str">
        <f t="shared" si="9"/>
        <v/>
      </c>
      <c r="B45" s="161" t="str">
        <f>IF($E$5*$E$7&lt;33,"",33)</f>
        <v/>
      </c>
      <c r="C45" s="162" t="str">
        <f t="shared" si="16"/>
        <v/>
      </c>
      <c r="D45" s="162" t="str">
        <f t="shared" si="10"/>
        <v/>
      </c>
      <c r="E45" s="162" t="str">
        <f t="shared" si="11"/>
        <v/>
      </c>
      <c r="F45" s="163" t="str">
        <f t="shared" si="12"/>
        <v/>
      </c>
      <c r="G45" s="154" t="str">
        <f>IF(C45="","",IF(SUM(C46:C$134)=0,C45-C$7+C$8+G$10+H45+R45,C45+H45+R45))</f>
        <v/>
      </c>
      <c r="H45" s="154"/>
      <c r="I45" s="155" t="str">
        <f t="shared" si="4"/>
        <v/>
      </c>
      <c r="J45" s="155" t="str">
        <f t="shared" si="5"/>
        <v/>
      </c>
      <c r="K45" s="155" t="str">
        <f>IF(M45="","",IF(B46="",SUM($J$13:$J45),SUM($J$13:$J45,$J46*(M45-A45)/(A46-A45))))</f>
        <v/>
      </c>
      <c r="L45" s="155" t="str">
        <f>IF(M45="","",IF(B46="",SUM($D$13:$D45,$R$12:$R45,$G$5:$G$10,$C$9,-$C$10),SUM($D$13:$D45,$R$12:$R45,$G$5:$G$10,$D46*(M45-A45)/(A46-A45),$C$9,-$C$10)))</f>
        <v/>
      </c>
      <c r="M45" s="157" t="str">
        <f t="shared" si="6"/>
        <v/>
      </c>
      <c r="N45" s="158" t="str">
        <f t="shared" si="3"/>
        <v/>
      </c>
      <c r="O45" s="164" t="str">
        <f t="shared" si="13"/>
        <v/>
      </c>
      <c r="P45" s="166" t="str">
        <f t="shared" si="14"/>
        <v/>
      </c>
      <c r="R45" s="154"/>
      <c r="S45" s="150" t="str">
        <f t="shared" si="7"/>
        <v/>
      </c>
      <c r="T45" s="151" t="str">
        <f t="shared" si="8"/>
        <v/>
      </c>
    </row>
    <row r="46" spans="1:20">
      <c r="A46" s="160" t="str">
        <f t="shared" si="9"/>
        <v/>
      </c>
      <c r="B46" s="161" t="str">
        <f>IF($E$5*$E$7&lt;34,"",34)</f>
        <v/>
      </c>
      <c r="C46" s="162" t="str">
        <f t="shared" si="16"/>
        <v/>
      </c>
      <c r="D46" s="162" t="str">
        <f t="shared" si="10"/>
        <v/>
      </c>
      <c r="E46" s="162" t="str">
        <f t="shared" si="11"/>
        <v/>
      </c>
      <c r="F46" s="163" t="str">
        <f t="shared" si="12"/>
        <v/>
      </c>
      <c r="G46" s="154" t="str">
        <f>IF(C46="","",IF(SUM(C47:C$134)=0,C46-C$7+C$8+G$10+H46+R46,C46+H46+R46))</f>
        <v/>
      </c>
      <c r="H46" s="154"/>
      <c r="I46" s="155" t="str">
        <f t="shared" si="4"/>
        <v/>
      </c>
      <c r="J46" s="155" t="str">
        <f t="shared" si="5"/>
        <v/>
      </c>
      <c r="K46" s="155" t="str">
        <f>IF(M46="","",IF(B47="",SUM($J$13:$J46),SUM($J$13:$J46,$J47*(M46-A46)/(A47-A46))))</f>
        <v/>
      </c>
      <c r="L46" s="155" t="str">
        <f>IF(M46="","",IF(B47="",SUM($D$13:$D46,$R$12:$R46,$G$5:$G$10,$C$9,-$C$10),SUM($D$13:$D46,$R$12:$R46,$G$5:$G$10,$D47*(M46-A46)/(A47-A46),$C$9,-$C$10)))</f>
        <v/>
      </c>
      <c r="M46" s="157" t="str">
        <f t="shared" si="6"/>
        <v/>
      </c>
      <c r="N46" s="158" t="str">
        <f t="shared" si="3"/>
        <v/>
      </c>
      <c r="O46" s="164" t="str">
        <f t="shared" si="13"/>
        <v/>
      </c>
      <c r="P46" s="166" t="str">
        <f t="shared" si="14"/>
        <v/>
      </c>
      <c r="R46" s="154"/>
      <c r="S46" s="150" t="str">
        <f t="shared" si="7"/>
        <v/>
      </c>
      <c r="T46" s="151" t="str">
        <f t="shared" si="8"/>
        <v/>
      </c>
    </row>
    <row r="47" spans="1:20">
      <c r="A47" s="160" t="str">
        <f t="shared" si="9"/>
        <v/>
      </c>
      <c r="B47" s="161" t="str">
        <f>IF($E$5*$E$7&lt;35,"",35)</f>
        <v/>
      </c>
      <c r="C47" s="162" t="str">
        <f t="shared" si="16"/>
        <v/>
      </c>
      <c r="D47" s="162" t="str">
        <f t="shared" si="10"/>
        <v/>
      </c>
      <c r="E47" s="162" t="str">
        <f t="shared" si="11"/>
        <v/>
      </c>
      <c r="F47" s="163" t="str">
        <f t="shared" si="12"/>
        <v/>
      </c>
      <c r="G47" s="154" t="str">
        <f>IF(C47="","",IF(SUM(C48:C$134)=0,C47-C$7+C$8+G$10+H47+R47,C47+H47+R47))</f>
        <v/>
      </c>
      <c r="H47" s="154"/>
      <c r="I47" s="155" t="str">
        <f t="shared" si="4"/>
        <v/>
      </c>
      <c r="J47" s="155" t="str">
        <f t="shared" si="5"/>
        <v/>
      </c>
      <c r="K47" s="155" t="str">
        <f>IF(M47="","",IF(B48="",SUM($J$13:$J47),SUM($J$13:$J47,$J48*(M47-A47)/(A48-A47))))</f>
        <v/>
      </c>
      <c r="L47" s="155" t="str">
        <f>IF(M47="","",IF(B48="",SUM($D$13:$D47,$R$12:$R47,$G$5:$G$10,$C$9,-$C$10),SUM($D$13:$D47,$R$12:$R47,$G$5:$G$10,$D48*(M47-A47)/(A48-A47),$C$9,-$C$10)))</f>
        <v/>
      </c>
      <c r="M47" s="157" t="str">
        <f t="shared" si="6"/>
        <v/>
      </c>
      <c r="N47" s="158" t="str">
        <f t="shared" si="3"/>
        <v/>
      </c>
      <c r="O47" s="164" t="str">
        <f t="shared" si="13"/>
        <v/>
      </c>
      <c r="P47" s="166" t="str">
        <f t="shared" si="14"/>
        <v/>
      </c>
      <c r="R47" s="154"/>
      <c r="S47" s="150" t="str">
        <f t="shared" si="7"/>
        <v/>
      </c>
      <c r="T47" s="151" t="str">
        <f t="shared" si="8"/>
        <v/>
      </c>
    </row>
    <row r="48" spans="1:20">
      <c r="A48" s="160" t="str">
        <f t="shared" si="9"/>
        <v/>
      </c>
      <c r="B48" s="161" t="str">
        <f>IF($E$5*$E$7&lt;36,"",36)</f>
        <v/>
      </c>
      <c r="C48" s="162" t="str">
        <f t="shared" si="16"/>
        <v/>
      </c>
      <c r="D48" s="162" t="str">
        <f t="shared" si="10"/>
        <v/>
      </c>
      <c r="E48" s="162" t="str">
        <f t="shared" si="11"/>
        <v/>
      </c>
      <c r="F48" s="163" t="str">
        <f t="shared" si="12"/>
        <v/>
      </c>
      <c r="G48" s="154" t="str">
        <f>IF(C48="","",IF(SUM(C49:C$134)=0,C48-C$7+C$8+G$10+H48+R48,C48+H48+R48))</f>
        <v/>
      </c>
      <c r="H48" s="154"/>
      <c r="I48" s="155" t="str">
        <f t="shared" si="4"/>
        <v/>
      </c>
      <c r="J48" s="155" t="str">
        <f t="shared" si="5"/>
        <v/>
      </c>
      <c r="K48" s="155" t="str">
        <f>IF(M48="","",IF(B49="",SUM($J$13:$J48),SUM($J$13:$J48,$J49*(M48-A48)/(A49-A48))))</f>
        <v/>
      </c>
      <c r="L48" s="155" t="str">
        <f>IF(M48="","",IF(B49="",SUM($D$13:$D48,$R$12:$R48,$G$5:$G$10,$C$9,-$C$10),SUM($D$13:$D48,$R$12:$R48,$G$5:$G$10,$D49*(M48-A48)/(A49-A48),$C$9,-$C$10)))</f>
        <v/>
      </c>
      <c r="M48" s="157" t="str">
        <f t="shared" si="6"/>
        <v/>
      </c>
      <c r="N48" s="158" t="str">
        <f t="shared" si="3"/>
        <v/>
      </c>
      <c r="O48" s="164" t="str">
        <f t="shared" si="13"/>
        <v/>
      </c>
      <c r="P48" s="166" t="str">
        <f t="shared" si="14"/>
        <v/>
      </c>
      <c r="R48" s="154"/>
      <c r="S48" s="150" t="str">
        <f t="shared" si="7"/>
        <v/>
      </c>
      <c r="T48" s="151" t="str">
        <f t="shared" si="8"/>
        <v/>
      </c>
    </row>
    <row r="49" spans="1:20">
      <c r="A49" s="160" t="str">
        <f t="shared" si="9"/>
        <v/>
      </c>
      <c r="B49" s="161" t="str">
        <f>IF($E$5*$E$7&lt;37,"",37)</f>
        <v/>
      </c>
      <c r="C49" s="162" t="str">
        <f t="shared" si="16"/>
        <v/>
      </c>
      <c r="D49" s="162" t="str">
        <f t="shared" si="10"/>
        <v/>
      </c>
      <c r="E49" s="162" t="str">
        <f t="shared" si="11"/>
        <v/>
      </c>
      <c r="F49" s="163" t="str">
        <f t="shared" si="12"/>
        <v/>
      </c>
      <c r="G49" s="154" t="str">
        <f>IF(C49="","",IF(SUM(C50:C$134)=0,C49-C$7+C$8+G$10+H49+R49,C49+H49+R49))</f>
        <v/>
      </c>
      <c r="H49" s="154"/>
      <c r="I49" s="155" t="str">
        <f t="shared" si="4"/>
        <v/>
      </c>
      <c r="J49" s="155" t="str">
        <f t="shared" si="5"/>
        <v/>
      </c>
      <c r="K49" s="155" t="str">
        <f>IF(M49="","",IF(B50="",SUM($J$13:$J49),SUM($J$13:$J49,$J50*(M49-A49)/(A50-A49))))</f>
        <v/>
      </c>
      <c r="L49" s="155" t="str">
        <f>IF(M49="","",IF(B50="",SUM($D$13:$D49,$R$12:$R49,$G$5:$G$10,$C$9,-$C$10),SUM($D$13:$D49,$R$12:$R49,$G$5:$G$10,$D50*(M49-A49)/(A50-A49),$C$9,-$C$10)))</f>
        <v/>
      </c>
      <c r="M49" s="157" t="str">
        <f t="shared" si="6"/>
        <v/>
      </c>
      <c r="N49" s="158" t="str">
        <f t="shared" si="3"/>
        <v/>
      </c>
      <c r="O49" s="164" t="str">
        <f t="shared" si="13"/>
        <v/>
      </c>
      <c r="P49" s="166" t="str">
        <f t="shared" si="14"/>
        <v/>
      </c>
      <c r="R49" s="154"/>
      <c r="S49" s="150" t="str">
        <f t="shared" si="7"/>
        <v/>
      </c>
      <c r="T49" s="151" t="str">
        <f t="shared" si="8"/>
        <v/>
      </c>
    </row>
    <row r="50" spans="1:20">
      <c r="A50" s="160" t="str">
        <f t="shared" si="9"/>
        <v/>
      </c>
      <c r="B50" s="161" t="str">
        <f>IF($E$5*$E$7&lt;38,"",38)</f>
        <v/>
      </c>
      <c r="C50" s="162" t="str">
        <f t="shared" si="16"/>
        <v/>
      </c>
      <c r="D50" s="162" t="str">
        <f t="shared" si="10"/>
        <v/>
      </c>
      <c r="E50" s="162" t="str">
        <f t="shared" si="11"/>
        <v/>
      </c>
      <c r="F50" s="163" t="str">
        <f t="shared" si="12"/>
        <v/>
      </c>
      <c r="G50" s="154" t="str">
        <f>IF(C50="","",IF(SUM(C51:C$134)=0,C50-C$7+C$8+G$10+H50+R50,C50+H50+R50))</f>
        <v/>
      </c>
      <c r="H50" s="154"/>
      <c r="I50" s="155" t="str">
        <f t="shared" si="4"/>
        <v/>
      </c>
      <c r="J50" s="155" t="str">
        <f t="shared" si="5"/>
        <v/>
      </c>
      <c r="K50" s="155" t="str">
        <f>IF(M50="","",IF(B51="",SUM($J$13:$J50),SUM($J$13:$J50,$J51*(M50-A50)/(A51-A50))))</f>
        <v/>
      </c>
      <c r="L50" s="155" t="str">
        <f>IF(M50="","",IF(B51="",SUM($D$13:$D50,$R$12:$R50,$G$5:$G$10,$C$9,-$C$10),SUM($D$13:$D50,$R$12:$R50,$G$5:$G$10,$D51*(M50-A50)/(A51-A50),$C$9,-$C$10)))</f>
        <v/>
      </c>
      <c r="M50" s="157" t="str">
        <f t="shared" si="6"/>
        <v/>
      </c>
      <c r="N50" s="158" t="str">
        <f t="shared" si="3"/>
        <v/>
      </c>
      <c r="O50" s="164" t="str">
        <f t="shared" si="13"/>
        <v/>
      </c>
      <c r="P50" s="166" t="str">
        <f t="shared" si="14"/>
        <v/>
      </c>
      <c r="R50" s="154"/>
      <c r="S50" s="150" t="str">
        <f t="shared" si="7"/>
        <v/>
      </c>
      <c r="T50" s="151" t="str">
        <f t="shared" si="8"/>
        <v/>
      </c>
    </row>
    <row r="51" spans="1:20">
      <c r="A51" s="160" t="str">
        <f t="shared" si="9"/>
        <v/>
      </c>
      <c r="B51" s="161" t="str">
        <f>IF($E$5*$E$7&lt;39,"",39)</f>
        <v/>
      </c>
      <c r="C51" s="162" t="str">
        <f t="shared" si="16"/>
        <v/>
      </c>
      <c r="D51" s="162" t="str">
        <f t="shared" si="10"/>
        <v/>
      </c>
      <c r="E51" s="162" t="str">
        <f t="shared" si="11"/>
        <v/>
      </c>
      <c r="F51" s="163" t="str">
        <f t="shared" si="12"/>
        <v/>
      </c>
      <c r="G51" s="154" t="str">
        <f>IF(C51="","",IF(SUM(C52:C$134)=0,C51-C$7+C$8+G$10+H51+R51,C51+H51+R51))</f>
        <v/>
      </c>
      <c r="H51" s="154"/>
      <c r="I51" s="155" t="str">
        <f t="shared" si="4"/>
        <v/>
      </c>
      <c r="J51" s="155" t="str">
        <f t="shared" si="5"/>
        <v/>
      </c>
      <c r="K51" s="155" t="str">
        <f>IF(M51="","",IF(B52="",SUM($J$13:$J51),SUM($J$13:$J51,$J52*(M51-A51)/(A52-A51))))</f>
        <v/>
      </c>
      <c r="L51" s="155" t="str">
        <f>IF(M51="","",IF(B52="",SUM($D$13:$D51,$R$12:$R51,$G$5:$G$10,$C$9,-$C$10),SUM($D$13:$D51,$R$12:$R51,$G$5:$G$10,$D52*(M51-A51)/(A52-A51),$C$9,-$C$10)))</f>
        <v/>
      </c>
      <c r="M51" s="157" t="str">
        <f t="shared" si="6"/>
        <v/>
      </c>
      <c r="N51" s="158" t="str">
        <f t="shared" si="3"/>
        <v/>
      </c>
      <c r="O51" s="164" t="str">
        <f t="shared" si="13"/>
        <v/>
      </c>
      <c r="P51" s="166" t="str">
        <f t="shared" si="14"/>
        <v/>
      </c>
      <c r="R51" s="154"/>
      <c r="S51" s="150" t="str">
        <f t="shared" si="7"/>
        <v/>
      </c>
      <c r="T51" s="151" t="str">
        <f t="shared" si="8"/>
        <v/>
      </c>
    </row>
    <row r="52" spans="1:20">
      <c r="A52" s="160" t="str">
        <f t="shared" si="9"/>
        <v/>
      </c>
      <c r="B52" s="161" t="str">
        <f>IF($E$5*$E$7&lt;40,"",40)</f>
        <v/>
      </c>
      <c r="C52" s="162" t="str">
        <f t="shared" si="16"/>
        <v/>
      </c>
      <c r="D52" s="162" t="str">
        <f t="shared" si="10"/>
        <v/>
      </c>
      <c r="E52" s="162" t="str">
        <f t="shared" si="11"/>
        <v/>
      </c>
      <c r="F52" s="163" t="str">
        <f t="shared" si="12"/>
        <v/>
      </c>
      <c r="G52" s="154" t="str">
        <f>IF(C52="","",IF(SUM(C53:C$134)=0,C52-C$7+C$8+G$10+H52+R52,C52+H52+R52))</f>
        <v/>
      </c>
      <c r="H52" s="154"/>
      <c r="I52" s="155" t="str">
        <f t="shared" si="4"/>
        <v/>
      </c>
      <c r="J52" s="155" t="str">
        <f t="shared" si="5"/>
        <v/>
      </c>
      <c r="K52" s="155" t="str">
        <f>IF(M52="","",IF(B53="",SUM($J$13:$J52),SUM($J$13:$J52,$J53*(M52-A52)/(A53-A52))))</f>
        <v/>
      </c>
      <c r="L52" s="155" t="str">
        <f>IF(M52="","",IF(B53="",SUM($D$13:$D52,$R$12:$R52,$G$5:$G$10,$C$9,-$C$10),SUM($D$13:$D52,$R$12:$R52,$G$5:$G$10,$D53*(M52-A52)/(A53-A52),$C$9,-$C$10)))</f>
        <v/>
      </c>
      <c r="M52" s="157" t="str">
        <f t="shared" si="6"/>
        <v/>
      </c>
      <c r="N52" s="158" t="str">
        <f t="shared" si="3"/>
        <v/>
      </c>
      <c r="O52" s="164" t="str">
        <f t="shared" si="13"/>
        <v/>
      </c>
      <c r="P52" s="166" t="str">
        <f t="shared" si="14"/>
        <v/>
      </c>
      <c r="R52" s="154"/>
      <c r="S52" s="150" t="str">
        <f t="shared" si="7"/>
        <v/>
      </c>
      <c r="T52" s="151" t="str">
        <f t="shared" si="8"/>
        <v/>
      </c>
    </row>
    <row r="53" spans="1:20">
      <c r="A53" s="160" t="str">
        <f t="shared" si="9"/>
        <v/>
      </c>
      <c r="B53" s="161" t="str">
        <f>IF($E$5*$E$7&lt;41,"",41)</f>
        <v/>
      </c>
      <c r="C53" s="162" t="str">
        <f t="shared" si="16"/>
        <v/>
      </c>
      <c r="D53" s="162" t="str">
        <f t="shared" si="10"/>
        <v/>
      </c>
      <c r="E53" s="162" t="str">
        <f t="shared" si="11"/>
        <v/>
      </c>
      <c r="F53" s="163" t="str">
        <f t="shared" si="12"/>
        <v/>
      </c>
      <c r="G53" s="154" t="str">
        <f>IF(C53="","",IF(SUM(C54:C$134)=0,C53-C$7+C$8+G$10+H53+R53,C53+H53+R53))</f>
        <v/>
      </c>
      <c r="H53" s="154"/>
      <c r="I53" s="155" t="str">
        <f t="shared" si="4"/>
        <v/>
      </c>
      <c r="J53" s="155" t="str">
        <f t="shared" si="5"/>
        <v/>
      </c>
      <c r="K53" s="155" t="str">
        <f>IF(M53="","",IF(B54="",SUM($J$13:$J53),SUM($J$13:$J53,$J54*(M53-A53)/(A54-A53))))</f>
        <v/>
      </c>
      <c r="L53" s="155" t="str">
        <f>IF(M53="","",IF(B54="",SUM($D$13:$D53,$R$12:$R53,$G$5:$G$10,$C$9,-$C$10),SUM($D$13:$D53,$R$12:$R53,$G$5:$G$10,$D54*(M53-A53)/(A54-A53),$C$9,-$C$10)))</f>
        <v/>
      </c>
      <c r="M53" s="157" t="str">
        <f t="shared" si="6"/>
        <v/>
      </c>
      <c r="N53" s="158" t="str">
        <f t="shared" si="3"/>
        <v/>
      </c>
      <c r="O53" s="164" t="str">
        <f t="shared" si="13"/>
        <v/>
      </c>
      <c r="P53" s="166" t="str">
        <f t="shared" si="14"/>
        <v/>
      </c>
      <c r="R53" s="154"/>
      <c r="S53" s="150" t="str">
        <f t="shared" si="7"/>
        <v/>
      </c>
      <c r="T53" s="151" t="str">
        <f t="shared" si="8"/>
        <v/>
      </c>
    </row>
    <row r="54" spans="1:20">
      <c r="A54" s="160" t="str">
        <f t="shared" si="9"/>
        <v/>
      </c>
      <c r="B54" s="161" t="str">
        <f>IF($E$5*$E$7&lt;42,"",42)</f>
        <v/>
      </c>
      <c r="C54" s="162" t="str">
        <f t="shared" si="16"/>
        <v/>
      </c>
      <c r="D54" s="162" t="str">
        <f t="shared" si="10"/>
        <v/>
      </c>
      <c r="E54" s="162" t="str">
        <f t="shared" si="11"/>
        <v/>
      </c>
      <c r="F54" s="163" t="str">
        <f t="shared" si="12"/>
        <v/>
      </c>
      <c r="G54" s="154" t="str">
        <f>IF(C54="","",IF(SUM(C55:C$134)=0,C54-C$7+C$8+G$10+H54+R54,C54+H54+R54))</f>
        <v/>
      </c>
      <c r="H54" s="154"/>
      <c r="I54" s="155" t="str">
        <f t="shared" si="4"/>
        <v/>
      </c>
      <c r="J54" s="155" t="str">
        <f t="shared" si="5"/>
        <v/>
      </c>
      <c r="K54" s="155" t="str">
        <f>IF(M54="","",IF(B55="",SUM($J$13:$J54),SUM($J$13:$J54,$J55*(M54-A54)/(A55-A54))))</f>
        <v/>
      </c>
      <c r="L54" s="155" t="str">
        <f>IF(M54="","",IF(B55="",SUM($D$13:$D54,$R$12:$R54,$G$5:$G$10,$C$9,-$C$10),SUM($D$13:$D54,$R$12:$R54,$G$5:$G$10,$D55*(M54-A54)/(A55-A54),$C$9,-$C$10)))</f>
        <v/>
      </c>
      <c r="M54" s="157" t="str">
        <f t="shared" si="6"/>
        <v/>
      </c>
      <c r="N54" s="158" t="str">
        <f t="shared" si="3"/>
        <v/>
      </c>
      <c r="O54" s="164" t="str">
        <f t="shared" si="13"/>
        <v/>
      </c>
      <c r="P54" s="166" t="str">
        <f t="shared" si="14"/>
        <v/>
      </c>
      <c r="R54" s="154"/>
      <c r="S54" s="150" t="str">
        <f t="shared" si="7"/>
        <v/>
      </c>
      <c r="T54" s="151" t="str">
        <f t="shared" si="8"/>
        <v/>
      </c>
    </row>
    <row r="55" spans="1:20">
      <c r="A55" s="160" t="str">
        <f t="shared" si="9"/>
        <v/>
      </c>
      <c r="B55" s="161" t="str">
        <f>IF($E$5*$E$7&lt;43,"",43)</f>
        <v/>
      </c>
      <c r="C55" s="162" t="str">
        <f t="shared" si="16"/>
        <v/>
      </c>
      <c r="D55" s="162" t="str">
        <f t="shared" si="10"/>
        <v/>
      </c>
      <c r="E55" s="162" t="str">
        <f t="shared" si="11"/>
        <v/>
      </c>
      <c r="F55" s="163" t="str">
        <f t="shared" si="12"/>
        <v/>
      </c>
      <c r="G55" s="154" t="str">
        <f>IF(C55="","",IF(SUM(C56:C$134)=0,C55-C$7+C$8+G$10+H55+R55,C55+H55+R55))</f>
        <v/>
      </c>
      <c r="H55" s="154"/>
      <c r="I55" s="155" t="str">
        <f t="shared" si="4"/>
        <v/>
      </c>
      <c r="J55" s="155" t="str">
        <f t="shared" si="5"/>
        <v/>
      </c>
      <c r="K55" s="155" t="str">
        <f>IF(M55="","",IF(B56="",SUM($J$13:$J55),SUM($J$13:$J55,$J56*(M55-A55)/(A56-A55))))</f>
        <v/>
      </c>
      <c r="L55" s="155" t="str">
        <f>IF(M55="","",IF(B56="",SUM($D$13:$D55,$R$12:$R55,$G$5:$G$10,$C$9,-$C$10),SUM($D$13:$D55,$R$12:$R55,$G$5:$G$10,$D56*(M55-A55)/(A56-A55),$C$9,-$C$10)))</f>
        <v/>
      </c>
      <c r="M55" s="157" t="str">
        <f t="shared" si="6"/>
        <v/>
      </c>
      <c r="N55" s="158" t="str">
        <f t="shared" si="3"/>
        <v/>
      </c>
      <c r="O55" s="164" t="str">
        <f t="shared" si="13"/>
        <v/>
      </c>
      <c r="P55" s="166" t="str">
        <f t="shared" si="14"/>
        <v/>
      </c>
      <c r="R55" s="154"/>
      <c r="S55" s="150" t="str">
        <f t="shared" si="7"/>
        <v/>
      </c>
      <c r="T55" s="151" t="str">
        <f t="shared" si="8"/>
        <v/>
      </c>
    </row>
    <row r="56" spans="1:20">
      <c r="A56" s="160" t="str">
        <f t="shared" si="9"/>
        <v/>
      </c>
      <c r="B56" s="161" t="str">
        <f>IF($E$5*$E$7&lt;44,"",44)</f>
        <v/>
      </c>
      <c r="C56" s="162" t="str">
        <f t="shared" si="16"/>
        <v/>
      </c>
      <c r="D56" s="162" t="str">
        <f t="shared" si="10"/>
        <v/>
      </c>
      <c r="E56" s="162" t="str">
        <f t="shared" si="11"/>
        <v/>
      </c>
      <c r="F56" s="163" t="str">
        <f t="shared" si="12"/>
        <v/>
      </c>
      <c r="G56" s="154" t="str">
        <f>IF(C56="","",IF(SUM(C57:C$134)=0,C56-C$7+C$8+G$10+H56+R56,C56+H56+R56))</f>
        <v/>
      </c>
      <c r="H56" s="154"/>
      <c r="I56" s="155" t="str">
        <f t="shared" si="4"/>
        <v/>
      </c>
      <c r="J56" s="155" t="str">
        <f t="shared" si="5"/>
        <v/>
      </c>
      <c r="K56" s="155" t="str">
        <f>IF(M56="","",IF(B57="",SUM($J$13:$J56),SUM($J$13:$J56,$J57*(M56-A56)/(A57-A56))))</f>
        <v/>
      </c>
      <c r="L56" s="155" t="str">
        <f>IF(M56="","",IF(B57="",SUM($D$13:$D56,$R$12:$R56,$G$5:$G$10,$C$9,-$C$10),SUM($D$13:$D56,$R$12:$R56,$G$5:$G$10,$D57*(M56-A56)/(A57-A56),$C$9,-$C$10)))</f>
        <v/>
      </c>
      <c r="M56" s="157" t="str">
        <f t="shared" si="6"/>
        <v/>
      </c>
      <c r="N56" s="158" t="str">
        <f t="shared" si="3"/>
        <v/>
      </c>
      <c r="O56" s="164" t="str">
        <f t="shared" si="13"/>
        <v/>
      </c>
      <c r="P56" s="166" t="str">
        <f t="shared" si="14"/>
        <v/>
      </c>
      <c r="R56" s="154"/>
      <c r="S56" s="150" t="str">
        <f t="shared" si="7"/>
        <v/>
      </c>
      <c r="T56" s="151" t="str">
        <f t="shared" si="8"/>
        <v/>
      </c>
    </row>
    <row r="57" spans="1:20">
      <c r="A57" s="160" t="str">
        <f t="shared" si="9"/>
        <v/>
      </c>
      <c r="B57" s="161" t="str">
        <f>IF($E$5*$E$7&lt;45,"",45)</f>
        <v/>
      </c>
      <c r="C57" s="162" t="str">
        <f t="shared" si="16"/>
        <v/>
      </c>
      <c r="D57" s="162" t="str">
        <f t="shared" si="10"/>
        <v/>
      </c>
      <c r="E57" s="162" t="str">
        <f t="shared" si="11"/>
        <v/>
      </c>
      <c r="F57" s="163" t="str">
        <f t="shared" si="12"/>
        <v/>
      </c>
      <c r="G57" s="154" t="str">
        <f>IF(C57="","",IF(SUM(C58:C$134)=0,C57-C$7+C$8+G$10+H57+R57,C57+H57+R57))</f>
        <v/>
      </c>
      <c r="H57" s="154"/>
      <c r="I57" s="155" t="str">
        <f t="shared" si="4"/>
        <v/>
      </c>
      <c r="J57" s="155" t="str">
        <f t="shared" si="5"/>
        <v/>
      </c>
      <c r="K57" s="155" t="str">
        <f>IF(M57="","",IF(B58="",SUM($J$13:$J57),SUM($J$13:$J57,$J58*(M57-A57)/(A58-A57))))</f>
        <v/>
      </c>
      <c r="L57" s="155" t="str">
        <f>IF(M57="","",IF(B58="",SUM($D$13:$D57,$R$12:$R57,$G$5:$G$10,$C$9,-$C$10),SUM($D$13:$D57,$R$12:$R57,$G$5:$G$10,$D58*(M57-A57)/(A58-A57),$C$9,-$C$10)))</f>
        <v/>
      </c>
      <c r="M57" s="157" t="str">
        <f t="shared" si="6"/>
        <v/>
      </c>
      <c r="N57" s="158" t="str">
        <f t="shared" si="3"/>
        <v/>
      </c>
      <c r="O57" s="164" t="str">
        <f t="shared" si="13"/>
        <v/>
      </c>
      <c r="P57" s="166" t="str">
        <f t="shared" si="14"/>
        <v/>
      </c>
      <c r="R57" s="154"/>
      <c r="S57" s="150" t="str">
        <f t="shared" si="7"/>
        <v/>
      </c>
      <c r="T57" s="151" t="str">
        <f t="shared" si="8"/>
        <v/>
      </c>
    </row>
    <row r="58" spans="1:20">
      <c r="A58" s="160" t="str">
        <f t="shared" si="9"/>
        <v/>
      </c>
      <c r="B58" s="161" t="str">
        <f>IF($E$5*$E$7&lt;46,"",46)</f>
        <v/>
      </c>
      <c r="C58" s="162" t="str">
        <f t="shared" si="16"/>
        <v/>
      </c>
      <c r="D58" s="162" t="str">
        <f t="shared" si="10"/>
        <v/>
      </c>
      <c r="E58" s="162" t="str">
        <f t="shared" si="11"/>
        <v/>
      </c>
      <c r="F58" s="163" t="str">
        <f t="shared" si="12"/>
        <v/>
      </c>
      <c r="G58" s="154" t="str">
        <f>IF(C58="","",IF(SUM(C59:C$134)=0,C58-C$7+C$8+G$10+H58+R58,C58+H58+R58))</f>
        <v/>
      </c>
      <c r="H58" s="154"/>
      <c r="I58" s="155" t="str">
        <f t="shared" si="4"/>
        <v/>
      </c>
      <c r="J58" s="155" t="str">
        <f t="shared" si="5"/>
        <v/>
      </c>
      <c r="K58" s="155" t="str">
        <f>IF(M58="","",IF(B59="",SUM($J$13:$J58),SUM($J$13:$J58,$J59*(M58-A58)/(A59-A58))))</f>
        <v/>
      </c>
      <c r="L58" s="155" t="str">
        <f>IF(M58="","",IF(B59="",SUM($D$13:$D58,$R$12:$R58,$G$5:$G$10,$C$9,-$C$10),SUM($D$13:$D58,$R$12:$R58,$G$5:$G$10,$D59*(M58-A58)/(A59-A58),$C$9,-$C$10)))</f>
        <v/>
      </c>
      <c r="M58" s="157" t="str">
        <f t="shared" si="6"/>
        <v/>
      </c>
      <c r="N58" s="158" t="str">
        <f t="shared" si="3"/>
        <v/>
      </c>
      <c r="O58" s="164" t="str">
        <f t="shared" si="13"/>
        <v/>
      </c>
      <c r="P58" s="166" t="str">
        <f t="shared" si="14"/>
        <v/>
      </c>
      <c r="R58" s="154"/>
      <c r="S58" s="150" t="str">
        <f t="shared" si="7"/>
        <v/>
      </c>
      <c r="T58" s="151" t="str">
        <f t="shared" si="8"/>
        <v/>
      </c>
    </row>
    <row r="59" spans="1:20">
      <c r="A59" s="160" t="str">
        <f t="shared" si="9"/>
        <v/>
      </c>
      <c r="B59" s="161" t="str">
        <f>IF($E$5*$E$7&lt;47,"",47)</f>
        <v/>
      </c>
      <c r="C59" s="162" t="str">
        <f t="shared" si="16"/>
        <v/>
      </c>
      <c r="D59" s="162" t="str">
        <f t="shared" si="10"/>
        <v/>
      </c>
      <c r="E59" s="162" t="str">
        <f t="shared" si="11"/>
        <v/>
      </c>
      <c r="F59" s="163" t="str">
        <f t="shared" si="12"/>
        <v/>
      </c>
      <c r="G59" s="154" t="str">
        <f>IF(C59="","",IF(SUM(C60:C$134)=0,C59-C$7+C$8+G$10+H59+R59,C59+H59+R59))</f>
        <v/>
      </c>
      <c r="H59" s="154"/>
      <c r="I59" s="155" t="str">
        <f t="shared" si="4"/>
        <v/>
      </c>
      <c r="J59" s="155" t="str">
        <f t="shared" si="5"/>
        <v/>
      </c>
      <c r="K59" s="155" t="str">
        <f>IF(M59="","",IF(B60="",SUM($J$13:$J59),SUM($J$13:$J59,$J60*(M59-A59)/(A60-A59))))</f>
        <v/>
      </c>
      <c r="L59" s="155" t="str">
        <f>IF(M59="","",IF(B60="",SUM($D$13:$D59,$R$12:$R59,$G$5:$G$10,$C$9,-$C$10),SUM($D$13:$D59,$R$12:$R59,$G$5:$G$10,$D60*(M59-A59)/(A60-A59),$C$9,-$C$10)))</f>
        <v/>
      </c>
      <c r="M59" s="157" t="str">
        <f t="shared" si="6"/>
        <v/>
      </c>
      <c r="N59" s="158" t="str">
        <f t="shared" si="3"/>
        <v/>
      </c>
      <c r="O59" s="164" t="str">
        <f t="shared" si="13"/>
        <v/>
      </c>
      <c r="P59" s="166" t="str">
        <f t="shared" si="14"/>
        <v/>
      </c>
      <c r="R59" s="154"/>
      <c r="S59" s="150" t="str">
        <f t="shared" si="7"/>
        <v/>
      </c>
      <c r="T59" s="151" t="str">
        <f t="shared" si="8"/>
        <v/>
      </c>
    </row>
    <row r="60" spans="1:20">
      <c r="A60" s="160" t="str">
        <f t="shared" si="9"/>
        <v/>
      </c>
      <c r="B60" s="161" t="str">
        <f>IF($E$5*$E$7&lt;48,"",48)</f>
        <v/>
      </c>
      <c r="C60" s="162" t="str">
        <f t="shared" si="16"/>
        <v/>
      </c>
      <c r="D60" s="162" t="str">
        <f t="shared" si="10"/>
        <v/>
      </c>
      <c r="E60" s="162" t="str">
        <f t="shared" si="11"/>
        <v/>
      </c>
      <c r="F60" s="163" t="str">
        <f t="shared" si="12"/>
        <v/>
      </c>
      <c r="G60" s="154" t="str">
        <f>IF(C60="","",IF(SUM(C61:C$134)=0,C60-C$7+C$8+G$10+H60+R60,C60+H60+R60))</f>
        <v/>
      </c>
      <c r="H60" s="154"/>
      <c r="I60" s="155" t="str">
        <f t="shared" si="4"/>
        <v/>
      </c>
      <c r="J60" s="155" t="str">
        <f t="shared" si="5"/>
        <v/>
      </c>
      <c r="K60" s="155" t="str">
        <f>IF(M60="","",IF(B61="",SUM($J$13:$J60),SUM($J$13:$J60,$J61*(M60-A60)/(A61-A60))))</f>
        <v/>
      </c>
      <c r="L60" s="155" t="str">
        <f>IF(M60="","",IF(B61="",SUM($D$13:$D60,$R$12:$R60,$G$5:$G$10,$C$9,-$C$10),SUM($D$13:$D60,$R$12:$R60,$G$5:$G$10,$D61*(M60-A60)/(A61-A60),$C$9,-$C$10)))</f>
        <v/>
      </c>
      <c r="M60" s="157" t="str">
        <f t="shared" si="6"/>
        <v/>
      </c>
      <c r="N60" s="158" t="str">
        <f t="shared" si="3"/>
        <v/>
      </c>
      <c r="O60" s="164" t="str">
        <f t="shared" si="13"/>
        <v/>
      </c>
      <c r="P60" s="166" t="str">
        <f t="shared" si="14"/>
        <v/>
      </c>
      <c r="R60" s="154"/>
      <c r="S60" s="150" t="str">
        <f t="shared" si="7"/>
        <v/>
      </c>
      <c r="T60" s="151" t="str">
        <f t="shared" si="8"/>
        <v/>
      </c>
    </row>
    <row r="61" spans="1:20">
      <c r="A61" s="160" t="str">
        <f t="shared" si="9"/>
        <v/>
      </c>
      <c r="B61" s="161" t="str">
        <f>IF($E$5*$E$7&lt;49,"",49)</f>
        <v/>
      </c>
      <c r="C61" s="162" t="str">
        <f t="shared" si="16"/>
        <v/>
      </c>
      <c r="D61" s="162" t="str">
        <f t="shared" si="10"/>
        <v/>
      </c>
      <c r="E61" s="162" t="str">
        <f t="shared" si="11"/>
        <v/>
      </c>
      <c r="F61" s="163" t="str">
        <f t="shared" si="12"/>
        <v/>
      </c>
      <c r="G61" s="154" t="str">
        <f>IF(C61="","",IF(SUM(C62:C$134)=0,C61-C$7+C$8+G$10+H61+R61,C61+H61+R61))</f>
        <v/>
      </c>
      <c r="H61" s="154"/>
      <c r="I61" s="155" t="str">
        <f t="shared" si="4"/>
        <v/>
      </c>
      <c r="J61" s="155" t="str">
        <f t="shared" si="5"/>
        <v/>
      </c>
      <c r="K61" s="155" t="str">
        <f>IF(M61="","",IF(B62="",SUM($J$13:$J61),SUM($J$13:$J61,$J62*(M61-A61)/(A62-A61))))</f>
        <v/>
      </c>
      <c r="L61" s="155" t="str">
        <f>IF(M61="","",IF(B62="",SUM($D$13:$D61,$R$12:$R61,$G$5:$G$10,$C$9,-$C$10),SUM($D$13:$D61,$R$12:$R61,$G$5:$G$10,$D62*(M61-A61)/(A62-A61),$C$9,-$C$10)))</f>
        <v/>
      </c>
      <c r="M61" s="157" t="str">
        <f t="shared" si="6"/>
        <v/>
      </c>
      <c r="N61" s="158" t="str">
        <f t="shared" si="3"/>
        <v/>
      </c>
      <c r="O61" s="164" t="str">
        <f t="shared" si="13"/>
        <v/>
      </c>
      <c r="P61" s="166" t="str">
        <f t="shared" si="14"/>
        <v/>
      </c>
      <c r="R61" s="154"/>
      <c r="S61" s="150" t="str">
        <f t="shared" si="7"/>
        <v/>
      </c>
      <c r="T61" s="151" t="str">
        <f t="shared" si="8"/>
        <v/>
      </c>
    </row>
    <row r="62" spans="1:20">
      <c r="A62" s="160" t="str">
        <f t="shared" si="9"/>
        <v/>
      </c>
      <c r="B62" s="161" t="str">
        <f>IF($E$5*$E$7&lt;50,"",50)</f>
        <v/>
      </c>
      <c r="C62" s="162" t="str">
        <f t="shared" si="16"/>
        <v/>
      </c>
      <c r="D62" s="162" t="str">
        <f t="shared" si="10"/>
        <v/>
      </c>
      <c r="E62" s="162" t="str">
        <f t="shared" si="11"/>
        <v/>
      </c>
      <c r="F62" s="163" t="str">
        <f t="shared" si="12"/>
        <v/>
      </c>
      <c r="G62" s="154" t="str">
        <f>IF(C62="","",IF(SUM(C63:C$134)=0,C62-C$7+C$8+G$10+H62+R62,C62+H62+R62))</f>
        <v/>
      </c>
      <c r="H62" s="154"/>
      <c r="I62" s="155" t="str">
        <f t="shared" si="4"/>
        <v/>
      </c>
      <c r="J62" s="155" t="str">
        <f t="shared" si="5"/>
        <v/>
      </c>
      <c r="K62" s="155" t="str">
        <f>IF(M62="","",IF(B63="",SUM($J$13:$J62),SUM($J$13:$J62,$J63*(M62-A62)/(A63-A62))))</f>
        <v/>
      </c>
      <c r="L62" s="155" t="str">
        <f>IF(M62="","",IF(B63="",SUM($D$13:$D62,$R$12:$R62,$G$5:$G$10,$C$9,-$C$10),SUM($D$13:$D62,$R$12:$R62,$G$5:$G$10,$D63*(M62-A62)/(A63-A62),$C$9,-$C$10)))</f>
        <v/>
      </c>
      <c r="M62" s="157" t="str">
        <f t="shared" si="6"/>
        <v/>
      </c>
      <c r="N62" s="158" t="str">
        <f t="shared" si="3"/>
        <v/>
      </c>
      <c r="O62" s="164" t="str">
        <f t="shared" si="13"/>
        <v/>
      </c>
      <c r="P62" s="166" t="str">
        <f t="shared" si="14"/>
        <v/>
      </c>
      <c r="R62" s="154"/>
      <c r="S62" s="150" t="str">
        <f t="shared" si="7"/>
        <v/>
      </c>
      <c r="T62" s="151" t="str">
        <f t="shared" si="8"/>
        <v/>
      </c>
    </row>
    <row r="63" spans="1:20">
      <c r="A63" s="160" t="str">
        <f t="shared" si="9"/>
        <v/>
      </c>
      <c r="B63" s="161" t="str">
        <f>IF($E$5*$E$7&lt;51,"",51)</f>
        <v/>
      </c>
      <c r="C63" s="162" t="str">
        <f t="shared" si="16"/>
        <v/>
      </c>
      <c r="D63" s="162" t="str">
        <f t="shared" si="10"/>
        <v/>
      </c>
      <c r="E63" s="162" t="str">
        <f t="shared" si="11"/>
        <v/>
      </c>
      <c r="F63" s="163" t="str">
        <f t="shared" si="12"/>
        <v/>
      </c>
      <c r="G63" s="154" t="str">
        <f>IF(C63="","",IF(SUM(C64:C$134)=0,C63-C$7+C$8+G$10+H63+R63,C63+H63+R63))</f>
        <v/>
      </c>
      <c r="H63" s="154"/>
      <c r="I63" s="155" t="str">
        <f t="shared" si="4"/>
        <v/>
      </c>
      <c r="J63" s="155" t="str">
        <f t="shared" si="5"/>
        <v/>
      </c>
      <c r="K63" s="155" t="str">
        <f>IF(M63="","",IF(B64="",SUM($J$13:$J63),SUM($J$13:$J63,$J64*(M63-A63)/(A64-A63))))</f>
        <v/>
      </c>
      <c r="L63" s="155" t="str">
        <f>IF(M63="","",IF(B64="",SUM($D$13:$D63,$R$12:$R63,$G$5:$G$10,$C$9,-$C$10),SUM($D$13:$D63,$R$12:$R63,$G$5:$G$10,$D64*(M63-A63)/(A64-A63),$C$9,-$C$10)))</f>
        <v/>
      </c>
      <c r="M63" s="157" t="str">
        <f t="shared" si="6"/>
        <v/>
      </c>
      <c r="N63" s="158" t="str">
        <f t="shared" si="3"/>
        <v/>
      </c>
      <c r="O63" s="164" t="str">
        <f t="shared" si="13"/>
        <v/>
      </c>
      <c r="P63" s="166" t="str">
        <f t="shared" si="14"/>
        <v/>
      </c>
      <c r="R63" s="154"/>
      <c r="S63" s="150" t="str">
        <f t="shared" si="7"/>
        <v/>
      </c>
      <c r="T63" s="151" t="str">
        <f t="shared" si="8"/>
        <v/>
      </c>
    </row>
    <row r="64" spans="1:20">
      <c r="A64" s="160" t="str">
        <f t="shared" si="9"/>
        <v/>
      </c>
      <c r="B64" s="161" t="str">
        <f>IF($E$5*$E$7&lt;52,"",52)</f>
        <v/>
      </c>
      <c r="C64" s="162" t="str">
        <f t="shared" si="16"/>
        <v/>
      </c>
      <c r="D64" s="162" t="str">
        <f t="shared" si="10"/>
        <v/>
      </c>
      <c r="E64" s="162" t="str">
        <f t="shared" si="11"/>
        <v/>
      </c>
      <c r="F64" s="163" t="str">
        <f t="shared" si="12"/>
        <v/>
      </c>
      <c r="G64" s="154" t="str">
        <f>IF(C64="","",IF(SUM(C65:C$134)=0,C64-C$7+C$8+G$10+H64+R64,C64+H64+R64))</f>
        <v/>
      </c>
      <c r="H64" s="154"/>
      <c r="I64" s="155" t="str">
        <f t="shared" si="4"/>
        <v/>
      </c>
      <c r="J64" s="155" t="str">
        <f t="shared" si="5"/>
        <v/>
      </c>
      <c r="K64" s="155" t="str">
        <f>IF(M64="","",IF(B65="",SUM($J$13:$J64),SUM($J$13:$J64,$J65*(M64-A64)/(A65-A64))))</f>
        <v/>
      </c>
      <c r="L64" s="155" t="str">
        <f>IF(M64="","",IF(B65="",SUM($D$13:$D64,$R$12:$R64,$G$5:$G$10,$C$9,-$C$10),SUM($D$13:$D64,$R$12:$R64,$G$5:$G$10,$D65*(M64-A64)/(A65-A64),$C$9,-$C$10)))</f>
        <v/>
      </c>
      <c r="M64" s="157" t="str">
        <f t="shared" si="6"/>
        <v/>
      </c>
      <c r="N64" s="158" t="str">
        <f t="shared" si="3"/>
        <v/>
      </c>
      <c r="O64" s="164" t="str">
        <f t="shared" si="13"/>
        <v/>
      </c>
      <c r="P64" s="166" t="str">
        <f t="shared" si="14"/>
        <v/>
      </c>
      <c r="R64" s="154"/>
      <c r="S64" s="150" t="str">
        <f t="shared" si="7"/>
        <v/>
      </c>
      <c r="T64" s="151" t="str">
        <f t="shared" si="8"/>
        <v/>
      </c>
    </row>
    <row r="65" spans="1:20">
      <c r="A65" s="160" t="str">
        <f t="shared" si="9"/>
        <v/>
      </c>
      <c r="B65" s="161" t="str">
        <f>IF($E$5*$E$7&lt;53,"",53)</f>
        <v/>
      </c>
      <c r="C65" s="162" t="str">
        <f t="shared" si="16"/>
        <v/>
      </c>
      <c r="D65" s="162" t="str">
        <f t="shared" si="10"/>
        <v/>
      </c>
      <c r="E65" s="162" t="str">
        <f t="shared" si="11"/>
        <v/>
      </c>
      <c r="F65" s="163" t="str">
        <f t="shared" si="12"/>
        <v/>
      </c>
      <c r="G65" s="154" t="str">
        <f>IF(C65="","",IF(SUM(C66:C$134)=0,C65-C$7+C$8+G$10+H65+R65,C65+H65+R65))</f>
        <v/>
      </c>
      <c r="H65" s="154"/>
      <c r="I65" s="155" t="str">
        <f t="shared" si="4"/>
        <v/>
      </c>
      <c r="J65" s="155" t="str">
        <f t="shared" si="5"/>
        <v/>
      </c>
      <c r="K65" s="155" t="str">
        <f>IF(M65="","",IF(B66="",SUM($J$13:$J65),SUM($J$13:$J65,$J66*(M65-A65)/(A66-A65))))</f>
        <v/>
      </c>
      <c r="L65" s="155" t="str">
        <f>IF(M65="","",IF(B66="",SUM($D$13:$D65,$R$12:$R65,$G$5:$G$10,$C$9,-$C$10),SUM($D$13:$D65,$R$12:$R65,$G$5:$G$10,$D66*(M65-A65)/(A66-A65),$C$9,-$C$10)))</f>
        <v/>
      </c>
      <c r="M65" s="157" t="str">
        <f t="shared" si="6"/>
        <v/>
      </c>
      <c r="N65" s="158" t="str">
        <f t="shared" si="3"/>
        <v/>
      </c>
      <c r="O65" s="164" t="str">
        <f t="shared" si="13"/>
        <v/>
      </c>
      <c r="P65" s="166" t="str">
        <f t="shared" si="14"/>
        <v/>
      </c>
      <c r="R65" s="154"/>
      <c r="S65" s="150" t="str">
        <f t="shared" si="7"/>
        <v/>
      </c>
      <c r="T65" s="151" t="str">
        <f t="shared" si="8"/>
        <v/>
      </c>
    </row>
    <row r="66" spans="1:20">
      <c r="A66" s="160" t="str">
        <f t="shared" si="9"/>
        <v/>
      </c>
      <c r="B66" s="161" t="str">
        <f>IF($E$5*$E$7&lt;54,"",54)</f>
        <v/>
      </c>
      <c r="C66" s="162" t="str">
        <f t="shared" si="16"/>
        <v/>
      </c>
      <c r="D66" s="162" t="str">
        <f t="shared" si="10"/>
        <v/>
      </c>
      <c r="E66" s="162" t="str">
        <f t="shared" si="11"/>
        <v/>
      </c>
      <c r="F66" s="163" t="str">
        <f t="shared" si="12"/>
        <v/>
      </c>
      <c r="G66" s="154" t="str">
        <f>IF(C66="","",IF(SUM(C67:C$134)=0,C66-C$7+C$8+G$10+H66+R66,C66+H66+R66))</f>
        <v/>
      </c>
      <c r="H66" s="154"/>
      <c r="I66" s="155" t="str">
        <f t="shared" si="4"/>
        <v/>
      </c>
      <c r="J66" s="155" t="str">
        <f t="shared" si="5"/>
        <v/>
      </c>
      <c r="K66" s="155" t="str">
        <f>IF(M66="","",IF(B67="",SUM($J$13:$J66),SUM($J$13:$J66,$J67*(M66-A66)/(A67-A66))))</f>
        <v/>
      </c>
      <c r="L66" s="155" t="str">
        <f>IF(M66="","",IF(B67="",SUM($D$13:$D66,$R$12:$R66,$G$5:$G$10,$C$9,-$C$10),SUM($D$13:$D66,$R$12:$R66,$G$5:$G$10,$D67*(M66-A66)/(A67-A66),$C$9,-$C$10)))</f>
        <v/>
      </c>
      <c r="M66" s="157" t="str">
        <f t="shared" si="6"/>
        <v/>
      </c>
      <c r="N66" s="158" t="str">
        <f t="shared" si="3"/>
        <v/>
      </c>
      <c r="O66" s="164" t="str">
        <f t="shared" si="13"/>
        <v/>
      </c>
      <c r="P66" s="166" t="str">
        <f t="shared" si="14"/>
        <v/>
      </c>
      <c r="R66" s="154"/>
      <c r="S66" s="150" t="str">
        <f t="shared" si="7"/>
        <v/>
      </c>
      <c r="T66" s="151" t="str">
        <f t="shared" si="8"/>
        <v/>
      </c>
    </row>
    <row r="67" spans="1:20">
      <c r="A67" s="160" t="str">
        <f t="shared" si="9"/>
        <v/>
      </c>
      <c r="B67" s="161" t="str">
        <f>IF($E$5*$E$7&lt;55,"",55)</f>
        <v/>
      </c>
      <c r="C67" s="162" t="str">
        <f t="shared" si="16"/>
        <v/>
      </c>
      <c r="D67" s="162" t="str">
        <f t="shared" si="10"/>
        <v/>
      </c>
      <c r="E67" s="162" t="str">
        <f t="shared" si="11"/>
        <v/>
      </c>
      <c r="F67" s="163" t="str">
        <f t="shared" si="12"/>
        <v/>
      </c>
      <c r="G67" s="154" t="str">
        <f>IF(C67="","",IF(SUM(C68:C$134)=0,C67-C$7+C$8+G$10+H67+R67,C67+H67+R67))</f>
        <v/>
      </c>
      <c r="H67" s="154"/>
      <c r="I67" s="155" t="str">
        <f t="shared" si="4"/>
        <v/>
      </c>
      <c r="J67" s="155" t="str">
        <f t="shared" si="5"/>
        <v/>
      </c>
      <c r="K67" s="155" t="str">
        <f>IF(M67="","",IF(B68="",SUM($J$13:$J67),SUM($J$13:$J67,$J68*(M67-A67)/(A68-A67))))</f>
        <v/>
      </c>
      <c r="L67" s="155" t="str">
        <f>IF(M67="","",IF(B68="",SUM($D$13:$D67,$R$12:$R67,$G$5:$G$10,$C$9,-$C$10),SUM($D$13:$D67,$R$12:$R67,$G$5:$G$10,$D68*(M67-A67)/(A68-A67),$C$9,-$C$10)))</f>
        <v/>
      </c>
      <c r="M67" s="157" t="str">
        <f t="shared" si="6"/>
        <v/>
      </c>
      <c r="N67" s="158" t="str">
        <f t="shared" si="3"/>
        <v/>
      </c>
      <c r="O67" s="164" t="str">
        <f t="shared" si="13"/>
        <v/>
      </c>
      <c r="P67" s="166" t="str">
        <f t="shared" si="14"/>
        <v/>
      </c>
      <c r="R67" s="154"/>
      <c r="S67" s="150" t="str">
        <f t="shared" si="7"/>
        <v/>
      </c>
      <c r="T67" s="151" t="str">
        <f t="shared" si="8"/>
        <v/>
      </c>
    </row>
    <row r="68" spans="1:20">
      <c r="A68" s="160" t="str">
        <f t="shared" si="9"/>
        <v/>
      </c>
      <c r="B68" s="161" t="str">
        <f>IF($E$5*$E$7&lt;56,"",56)</f>
        <v/>
      </c>
      <c r="C68" s="162" t="str">
        <f t="shared" si="16"/>
        <v/>
      </c>
      <c r="D68" s="162" t="str">
        <f t="shared" si="10"/>
        <v/>
      </c>
      <c r="E68" s="162" t="str">
        <f t="shared" si="11"/>
        <v/>
      </c>
      <c r="F68" s="163" t="str">
        <f t="shared" si="12"/>
        <v/>
      </c>
      <c r="G68" s="154" t="str">
        <f>IF(C68="","",IF(SUM(C69:C$134)=0,C68-C$7+C$8+G$10+H68+R68,C68+H68+R68))</f>
        <v/>
      </c>
      <c r="H68" s="154"/>
      <c r="I68" s="155" t="str">
        <f t="shared" si="4"/>
        <v/>
      </c>
      <c r="J68" s="155" t="str">
        <f t="shared" si="5"/>
        <v/>
      </c>
      <c r="K68" s="155" t="str">
        <f>IF(M68="","",IF(B69="",SUM($J$13:$J68),SUM($J$13:$J68,$J69*(M68-A68)/(A69-A68))))</f>
        <v/>
      </c>
      <c r="L68" s="155" t="str">
        <f>IF(M68="","",IF(B69="",SUM($D$13:$D68,$R$12:$R68,$G$5:$G$10,$C$9,-$C$10),SUM($D$13:$D68,$R$12:$R68,$G$5:$G$10,$D69*(M68-A68)/(A69-A68),$C$9,-$C$10)))</f>
        <v/>
      </c>
      <c r="M68" s="157" t="str">
        <f t="shared" si="6"/>
        <v/>
      </c>
      <c r="N68" s="158" t="str">
        <f t="shared" si="3"/>
        <v/>
      </c>
      <c r="O68" s="164" t="str">
        <f t="shared" si="13"/>
        <v/>
      </c>
      <c r="P68" s="166" t="str">
        <f t="shared" si="14"/>
        <v/>
      </c>
      <c r="R68" s="154"/>
      <c r="S68" s="150" t="str">
        <f t="shared" si="7"/>
        <v/>
      </c>
      <c r="T68" s="151" t="str">
        <f t="shared" si="8"/>
        <v/>
      </c>
    </row>
    <row r="69" spans="1:20">
      <c r="A69" s="160" t="str">
        <f t="shared" si="9"/>
        <v/>
      </c>
      <c r="B69" s="161" t="str">
        <f>IF($E$5*$E$7&lt;57,"",57)</f>
        <v/>
      </c>
      <c r="C69" s="162" t="str">
        <f t="shared" si="16"/>
        <v/>
      </c>
      <c r="D69" s="162" t="str">
        <f t="shared" si="10"/>
        <v/>
      </c>
      <c r="E69" s="162" t="str">
        <f t="shared" si="11"/>
        <v/>
      </c>
      <c r="F69" s="163" t="str">
        <f t="shared" si="12"/>
        <v/>
      </c>
      <c r="G69" s="154" t="str">
        <f>IF(C69="","",IF(SUM(C70:C$134)=0,C69-C$7+C$8+G$10+H69+R69,C69+H69+R69))</f>
        <v/>
      </c>
      <c r="H69" s="154"/>
      <c r="I69" s="155" t="str">
        <f t="shared" si="4"/>
        <v/>
      </c>
      <c r="J69" s="155" t="str">
        <f t="shared" si="5"/>
        <v/>
      </c>
      <c r="K69" s="155" t="str">
        <f>IF(M69="","",IF(B70="",SUM($J$13:$J69),SUM($J$13:$J69,$J70*(M69-A69)/(A70-A69))))</f>
        <v/>
      </c>
      <c r="L69" s="155" t="str">
        <f>IF(M69="","",IF(B70="",SUM($D$13:$D69,$R$12:$R69,$G$5:$G$10,$C$9,-$C$10),SUM($D$13:$D69,$R$12:$R69,$G$5:$G$10,$D70*(M69-A69)/(A70-A69),$C$9,-$C$10)))</f>
        <v/>
      </c>
      <c r="M69" s="157" t="str">
        <f t="shared" si="6"/>
        <v/>
      </c>
      <c r="N69" s="158" t="str">
        <f t="shared" si="3"/>
        <v/>
      </c>
      <c r="O69" s="164" t="str">
        <f t="shared" si="13"/>
        <v/>
      </c>
      <c r="P69" s="166" t="str">
        <f t="shared" si="14"/>
        <v/>
      </c>
      <c r="R69" s="154"/>
      <c r="S69" s="150" t="str">
        <f t="shared" si="7"/>
        <v/>
      </c>
      <c r="T69" s="151" t="str">
        <f t="shared" si="8"/>
        <v/>
      </c>
    </row>
    <row r="70" spans="1:20">
      <c r="A70" s="160" t="str">
        <f t="shared" si="9"/>
        <v/>
      </c>
      <c r="B70" s="161" t="str">
        <f>IF($E$5*$E$7&lt;58,"",58)</f>
        <v/>
      </c>
      <c r="C70" s="162" t="str">
        <f t="shared" si="16"/>
        <v/>
      </c>
      <c r="D70" s="162" t="str">
        <f t="shared" si="10"/>
        <v/>
      </c>
      <c r="E70" s="162" t="str">
        <f t="shared" si="11"/>
        <v/>
      </c>
      <c r="F70" s="163" t="str">
        <f t="shared" si="12"/>
        <v/>
      </c>
      <c r="G70" s="154" t="str">
        <f>IF(C70="","",IF(SUM(C71:C$134)=0,C70-C$7+C$8+G$10+H70+R70,C70+H70+R70))</f>
        <v/>
      </c>
      <c r="H70" s="154"/>
      <c r="I70" s="155" t="str">
        <f t="shared" si="4"/>
        <v/>
      </c>
      <c r="J70" s="155" t="str">
        <f t="shared" si="5"/>
        <v/>
      </c>
      <c r="K70" s="155" t="str">
        <f>IF(M70="","",IF(B71="",SUM($J$13:$J70),SUM($J$13:$J70,$J71*(M70-A70)/(A71-A70))))</f>
        <v/>
      </c>
      <c r="L70" s="155" t="str">
        <f>IF(M70="","",IF(B71="",SUM($D$13:$D70,$R$12:$R70,$G$5:$G$10,$C$9,-$C$10),SUM($D$13:$D70,$R$12:$R70,$G$5:$G$10,$D71*(M70-A70)/(A71-A70),$C$9,-$C$10)))</f>
        <v/>
      </c>
      <c r="M70" s="157" t="str">
        <f t="shared" si="6"/>
        <v/>
      </c>
      <c r="N70" s="158" t="str">
        <f t="shared" si="3"/>
        <v/>
      </c>
      <c r="O70" s="164" t="str">
        <f t="shared" si="13"/>
        <v/>
      </c>
      <c r="P70" s="166" t="str">
        <f t="shared" si="14"/>
        <v/>
      </c>
      <c r="R70" s="154"/>
      <c r="S70" s="150" t="str">
        <f t="shared" si="7"/>
        <v/>
      </c>
      <c r="T70" s="151" t="str">
        <f t="shared" si="8"/>
        <v/>
      </c>
    </row>
    <row r="71" spans="1:20">
      <c r="A71" s="160" t="str">
        <f t="shared" si="9"/>
        <v/>
      </c>
      <c r="B71" s="161" t="str">
        <f>IF($E$5*$E$7&lt;59,"",59)</f>
        <v/>
      </c>
      <c r="C71" s="162" t="str">
        <f t="shared" si="16"/>
        <v/>
      </c>
      <c r="D71" s="162" t="str">
        <f t="shared" si="10"/>
        <v/>
      </c>
      <c r="E71" s="162" t="str">
        <f t="shared" si="11"/>
        <v/>
      </c>
      <c r="F71" s="163" t="str">
        <f t="shared" si="12"/>
        <v/>
      </c>
      <c r="G71" s="154" t="str">
        <f>IF(C71="","",IF(SUM(C72:C$134)=0,C71-C$7+C$8+G$10+H71+R71,C71+H71+R71))</f>
        <v/>
      </c>
      <c r="H71" s="154"/>
      <c r="I71" s="155" t="str">
        <f t="shared" si="4"/>
        <v/>
      </c>
      <c r="J71" s="155" t="str">
        <f t="shared" si="5"/>
        <v/>
      </c>
      <c r="K71" s="155" t="str">
        <f>IF(M71="","",IF(B72="",SUM($J$13:$J71),SUM($J$13:$J71,$J72*(M71-A71)/(A72-A71))))</f>
        <v/>
      </c>
      <c r="L71" s="155" t="str">
        <f>IF(M71="","",IF(B72="",SUM($D$13:$D71,$R$12:$R71,$G$5:$G$10,$C$9,-$C$10),SUM($D$13:$D71,$R$12:$R71,$G$5:$G$10,$D72*(M71-A71)/(A72-A71),$C$9,-$C$10)))</f>
        <v/>
      </c>
      <c r="M71" s="157" t="str">
        <f t="shared" si="6"/>
        <v/>
      </c>
      <c r="N71" s="158" t="str">
        <f t="shared" si="3"/>
        <v/>
      </c>
      <c r="O71" s="164" t="str">
        <f t="shared" si="13"/>
        <v/>
      </c>
      <c r="P71" s="166" t="str">
        <f t="shared" si="14"/>
        <v/>
      </c>
      <c r="R71" s="154"/>
      <c r="S71" s="150" t="str">
        <f t="shared" si="7"/>
        <v/>
      </c>
      <c r="T71" s="151" t="str">
        <f t="shared" si="8"/>
        <v/>
      </c>
    </row>
    <row r="72" spans="1:20">
      <c r="A72" s="160" t="str">
        <f t="shared" si="9"/>
        <v/>
      </c>
      <c r="B72" s="161" t="str">
        <f>IF($E$5*$E$7&lt;60,"",60)</f>
        <v/>
      </c>
      <c r="C72" s="162" t="str">
        <f t="shared" si="16"/>
        <v/>
      </c>
      <c r="D72" s="162" t="str">
        <f>IF(B72="","",ROUND(F71*E$6/E$7,2))</f>
        <v/>
      </c>
      <c r="E72" s="162" t="str">
        <f t="shared" si="11"/>
        <v/>
      </c>
      <c r="F72" s="163" t="str">
        <f t="shared" si="12"/>
        <v/>
      </c>
      <c r="G72" s="154" t="str">
        <f>IF(C72="","",IF(SUM(C73:C$134)=0,C72-C$7+C$8+G$10+H72+R72,C72+H72+R72))</f>
        <v/>
      </c>
      <c r="H72" s="154"/>
      <c r="I72" s="155" t="str">
        <f t="shared" si="4"/>
        <v/>
      </c>
      <c r="J72" s="155" t="str">
        <f t="shared" si="5"/>
        <v/>
      </c>
      <c r="K72" s="155" t="str">
        <f>IF(M72="","",IF(B73="",SUM($J$13:$J72),SUM($J$13:$J72,$J73*(M72-A72)/(A73-A72))))</f>
        <v/>
      </c>
      <c r="L72" s="155" t="str">
        <f>IF(M72="","",IF(B73="",SUM($D$13:$D72,$R$12:$R72,$G$5:$G$10,$C$9,-$C$10),SUM($D$13:$D72,$R$12:$R72,$G$5:$G$10,$D73*(M72-A72)/(A73-A72),$C$9,-$C$10)))</f>
        <v/>
      </c>
      <c r="M72" s="157" t="str">
        <f t="shared" si="6"/>
        <v/>
      </c>
      <c r="N72" s="158" t="str">
        <f t="shared" si="3"/>
        <v/>
      </c>
      <c r="O72" s="164" t="str">
        <f t="shared" si="13"/>
        <v/>
      </c>
      <c r="P72" s="166" t="str">
        <f t="shared" si="14"/>
        <v/>
      </c>
      <c r="R72" s="154"/>
      <c r="S72" s="150" t="str">
        <f t="shared" si="7"/>
        <v/>
      </c>
      <c r="T72" s="151" t="str">
        <f t="shared" si="8"/>
        <v/>
      </c>
    </row>
    <row r="73" spans="1:20">
      <c r="A73" s="160" t="str">
        <f t="shared" si="9"/>
        <v/>
      </c>
      <c r="B73" s="161" t="str">
        <f>IF($E$5*$E$7&lt;61,"",61)</f>
        <v/>
      </c>
      <c r="C73" s="162" t="str">
        <f t="shared" si="16"/>
        <v/>
      </c>
      <c r="D73" s="162" t="str">
        <f t="shared" si="10"/>
        <v/>
      </c>
      <c r="E73" s="162" t="str">
        <f t="shared" si="11"/>
        <v/>
      </c>
      <c r="F73" s="163" t="str">
        <f t="shared" si="12"/>
        <v/>
      </c>
      <c r="G73" s="154" t="str">
        <f>IF(C73="","",IF(SUM(C74:C$134)=0,C73-C$7+C$8+G$10+H73+R73,C73+H73+R73))</f>
        <v/>
      </c>
      <c r="H73" s="154"/>
      <c r="I73" s="155" t="str">
        <f t="shared" si="4"/>
        <v/>
      </c>
      <c r="J73" s="155" t="str">
        <f t="shared" si="5"/>
        <v/>
      </c>
      <c r="K73" s="155" t="str">
        <f>IF(M73="","",IF(B74="",SUM($J$13:$J73),SUM($J$13:$J73,$J74*(M73-A73)/(A74-A73))))</f>
        <v/>
      </c>
      <c r="L73" s="155" t="str">
        <f>IF(M73="","",IF(B74="",SUM($D$13:$D73,$R$12:$R73,$G$5:$G$10,$C$9,-$C$10),SUM($D$13:$D73,$R$12:$R73,$G$5:$G$10,$D74*(M73-A73)/(A74-A73),$C$9,-$C$10)))</f>
        <v/>
      </c>
      <c r="M73" s="157" t="str">
        <f t="shared" si="6"/>
        <v/>
      </c>
      <c r="N73" s="158" t="str">
        <f t="shared" si="3"/>
        <v/>
      </c>
      <c r="O73" s="164" t="str">
        <f t="shared" si="13"/>
        <v/>
      </c>
      <c r="P73" s="166" t="str">
        <f t="shared" si="14"/>
        <v/>
      </c>
      <c r="R73" s="154"/>
      <c r="S73" s="150" t="str">
        <f t="shared" si="7"/>
        <v/>
      </c>
      <c r="T73" s="151" t="str">
        <f t="shared" si="8"/>
        <v/>
      </c>
    </row>
    <row r="74" spans="1:20">
      <c r="A74" s="160" t="str">
        <f t="shared" si="9"/>
        <v/>
      </c>
      <c r="B74" s="161" t="str">
        <f>IF($E$5*$E$7&lt;62,"",62)</f>
        <v/>
      </c>
      <c r="C74" s="162" t="str">
        <f t="shared" si="16"/>
        <v/>
      </c>
      <c r="D74" s="162" t="str">
        <f t="shared" si="10"/>
        <v/>
      </c>
      <c r="E74" s="162" t="str">
        <f t="shared" si="11"/>
        <v/>
      </c>
      <c r="F74" s="163" t="str">
        <f t="shared" si="12"/>
        <v/>
      </c>
      <c r="G74" s="154" t="str">
        <f>IF(C74="","",IF(SUM(C75:C$134)=0,C74-C$7+C$8+G$10+H74+R74,C74+H74+R74))</f>
        <v/>
      </c>
      <c r="H74" s="154"/>
      <c r="I74" s="155" t="str">
        <f t="shared" si="4"/>
        <v/>
      </c>
      <c r="J74" s="155" t="str">
        <f t="shared" si="5"/>
        <v/>
      </c>
      <c r="K74" s="155" t="str">
        <f>IF(M74="","",IF(B75="",SUM($J$13:$J74),SUM($J$13:$J74,$J75*(M74-A74)/(A75-A74))))</f>
        <v/>
      </c>
      <c r="L74" s="155" t="str">
        <f>IF(M74="","",IF(B75="",SUM($D$13:$D74,$R$12:$R74,$G$5:$G$10,$C$9,-$C$10),SUM($D$13:$D74,$R$12:$R74,$G$5:$G$10,$D75*(M74-A74)/(A75-A74),$C$9,-$C$10)))</f>
        <v/>
      </c>
      <c r="M74" s="157" t="str">
        <f t="shared" si="6"/>
        <v/>
      </c>
      <c r="N74" s="158" t="str">
        <f t="shared" si="3"/>
        <v/>
      </c>
      <c r="O74" s="164" t="str">
        <f t="shared" si="13"/>
        <v/>
      </c>
      <c r="P74" s="166" t="str">
        <f t="shared" si="14"/>
        <v/>
      </c>
      <c r="R74" s="154"/>
      <c r="S74" s="150" t="str">
        <f t="shared" si="7"/>
        <v/>
      </c>
      <c r="T74" s="151" t="str">
        <f t="shared" si="8"/>
        <v/>
      </c>
    </row>
    <row r="75" spans="1:20">
      <c r="A75" s="160" t="str">
        <f t="shared" si="9"/>
        <v/>
      </c>
      <c r="B75" s="161" t="str">
        <f>IF($E$5*$E$7&lt;63,"",63)</f>
        <v/>
      </c>
      <c r="C75" s="162" t="str">
        <f t="shared" si="16"/>
        <v/>
      </c>
      <c r="D75" s="162" t="str">
        <f t="shared" si="10"/>
        <v/>
      </c>
      <c r="E75" s="162" t="str">
        <f t="shared" si="11"/>
        <v/>
      </c>
      <c r="F75" s="163" t="str">
        <f t="shared" si="12"/>
        <v/>
      </c>
      <c r="G75" s="154" t="str">
        <f>IF(C75="","",IF(SUM(C76:C$134)=0,C75-C$7+C$8+G$10+H75+R75,C75+H75+R75))</f>
        <v/>
      </c>
      <c r="H75" s="154"/>
      <c r="I75" s="155" t="str">
        <f t="shared" si="4"/>
        <v/>
      </c>
      <c r="J75" s="155" t="str">
        <f t="shared" si="5"/>
        <v/>
      </c>
      <c r="K75" s="155" t="str">
        <f>IF(M75="","",IF(B76="",SUM($J$13:$J75),SUM($J$13:$J75,$J76*(M75-A75)/(A76-A75))))</f>
        <v/>
      </c>
      <c r="L75" s="155" t="str">
        <f>IF(M75="","",IF(B76="",SUM($D$13:$D75,$R$12:$R75,$G$5:$G$10,$C$9,-$C$10),SUM($D$13:$D75,$R$12:$R75,$G$5:$G$10,$D76*(M75-A75)/(A76-A75),$C$9,-$C$10)))</f>
        <v/>
      </c>
      <c r="M75" s="157" t="str">
        <f t="shared" si="6"/>
        <v/>
      </c>
      <c r="N75" s="158" t="str">
        <f t="shared" si="3"/>
        <v/>
      </c>
      <c r="O75" s="164" t="str">
        <f t="shared" si="13"/>
        <v/>
      </c>
      <c r="P75" s="166" t="str">
        <f t="shared" si="14"/>
        <v/>
      </c>
      <c r="R75" s="154"/>
      <c r="S75" s="150" t="str">
        <f t="shared" si="7"/>
        <v/>
      </c>
      <c r="T75" s="151" t="str">
        <f t="shared" si="8"/>
        <v/>
      </c>
    </row>
    <row r="76" spans="1:20">
      <c r="A76" s="160" t="str">
        <f t="shared" si="9"/>
        <v/>
      </c>
      <c r="B76" s="161" t="str">
        <f>IF($E$5*$E$7&lt;64,"",64)</f>
        <v/>
      </c>
      <c r="C76" s="162" t="str">
        <f t="shared" si="16"/>
        <v/>
      </c>
      <c r="D76" s="162" t="str">
        <f t="shared" si="10"/>
        <v/>
      </c>
      <c r="E76" s="162" t="str">
        <f t="shared" si="11"/>
        <v/>
      </c>
      <c r="F76" s="163" t="str">
        <f t="shared" si="12"/>
        <v/>
      </c>
      <c r="G76" s="154" t="str">
        <f>IF(C76="","",IF(SUM(C77:C$134)=0,C76-C$7+C$8+G$10+H76+R76,C76+H76+R76))</f>
        <v/>
      </c>
      <c r="H76" s="154"/>
      <c r="I76" s="155" t="str">
        <f t="shared" si="4"/>
        <v/>
      </c>
      <c r="J76" s="155" t="str">
        <f t="shared" si="5"/>
        <v/>
      </c>
      <c r="K76" s="155" t="str">
        <f>IF(M76="","",IF(B77="",SUM($J$13:$J76),SUM($J$13:$J76,$J77*(M76-A76)/(A77-A76))))</f>
        <v/>
      </c>
      <c r="L76" s="155" t="str">
        <f>IF(M76="","",IF(B77="",SUM($D$13:$D76,$R$12:$R76,$G$5:$G$10,$C$9,-$C$10),SUM($D$13:$D76,$R$12:$R76,$G$5:$G$10,$D77*(M76-A76)/(A77-A76),$C$9,-$C$10)))</f>
        <v/>
      </c>
      <c r="M76" s="157" t="str">
        <f t="shared" si="6"/>
        <v/>
      </c>
      <c r="N76" s="158" t="str">
        <f t="shared" si="3"/>
        <v/>
      </c>
      <c r="O76" s="164" t="str">
        <f t="shared" si="13"/>
        <v/>
      </c>
      <c r="P76" s="166" t="str">
        <f t="shared" si="14"/>
        <v/>
      </c>
      <c r="R76" s="154"/>
      <c r="S76" s="150" t="str">
        <f t="shared" si="7"/>
        <v/>
      </c>
      <c r="T76" s="151" t="str">
        <f t="shared" si="8"/>
        <v/>
      </c>
    </row>
    <row r="77" spans="1:20">
      <c r="A77" s="160" t="str">
        <f t="shared" si="9"/>
        <v/>
      </c>
      <c r="B77" s="161" t="str">
        <f>IF($E$5*$E$7&lt;65,"",65)</f>
        <v/>
      </c>
      <c r="C77" s="162" t="str">
        <f t="shared" si="16"/>
        <v/>
      </c>
      <c r="D77" s="162" t="str">
        <f t="shared" si="10"/>
        <v/>
      </c>
      <c r="E77" s="162" t="str">
        <f t="shared" si="11"/>
        <v/>
      </c>
      <c r="F77" s="163" t="str">
        <f t="shared" si="12"/>
        <v/>
      </c>
      <c r="G77" s="154" t="str">
        <f>IF(C77="","",IF(SUM(C78:C$134)=0,C77-C$7+C$8+G$10+H77+R77,C77+H77+R77))</f>
        <v/>
      </c>
      <c r="H77" s="154"/>
      <c r="I77" s="155" t="str">
        <f t="shared" si="4"/>
        <v/>
      </c>
      <c r="J77" s="155" t="str">
        <f t="shared" si="5"/>
        <v/>
      </c>
      <c r="K77" s="155" t="str">
        <f>IF(M77="","",IF(B78="",SUM($J$13:$J77),SUM($J$13:$J77,$J78*(M77-A77)/(A78-A77))))</f>
        <v/>
      </c>
      <c r="L77" s="155" t="str">
        <f>IF(M77="","",IF(B78="",SUM($D$13:$D77,$R$12:$R77,$G$5:$G$10,$C$9,-$C$10),SUM($D$13:$D77,$R$12:$R77,$G$5:$G$10,$D78*(M77-A77)/(A78-A77),$C$9,-$C$10)))</f>
        <v/>
      </c>
      <c r="M77" s="157" t="str">
        <f t="shared" si="6"/>
        <v/>
      </c>
      <c r="N77" s="158" t="str">
        <f t="shared" ref="N77:N134" si="17">IF(A77="","",YEAR(A77))</f>
        <v/>
      </c>
      <c r="O77" s="164" t="str">
        <f t="shared" si="13"/>
        <v/>
      </c>
      <c r="P77" s="166" t="str">
        <f t="shared" si="14"/>
        <v/>
      </c>
      <c r="R77" s="154"/>
      <c r="S77" s="150" t="str">
        <f t="shared" ref="S77:S134" si="18">A77</f>
        <v/>
      </c>
      <c r="T77" s="151" t="str">
        <f t="shared" ref="T77:T134" si="19">G77</f>
        <v/>
      </c>
    </row>
    <row r="78" spans="1:20">
      <c r="A78" s="160" t="str">
        <f t="shared" si="9"/>
        <v/>
      </c>
      <c r="B78" s="161" t="str">
        <f>IF($E$5*$E$7&lt;66,"",66)</f>
        <v/>
      </c>
      <c r="C78" s="162" t="str">
        <f t="shared" si="16"/>
        <v/>
      </c>
      <c r="D78" s="162" t="str">
        <f t="shared" si="10"/>
        <v/>
      </c>
      <c r="E78" s="162" t="str">
        <f t="shared" si="11"/>
        <v/>
      </c>
      <c r="F78" s="163" t="str">
        <f t="shared" si="12"/>
        <v/>
      </c>
      <c r="G78" s="154" t="str">
        <f>IF(C78="","",IF(SUM(C79:C$134)=0,C78-C$7+C$8+G$10+H78+R78,C78+H78+R78))</f>
        <v/>
      </c>
      <c r="H78" s="154"/>
      <c r="I78" s="155" t="str">
        <f t="shared" ref="I78:I133" si="20">IF(A79="","",I77-E78-H78)</f>
        <v/>
      </c>
      <c r="J78" s="155" t="str">
        <f t="shared" ref="J78:J134" si="21">IF(I77="","",I77*(A78-A77)/365)</f>
        <v/>
      </c>
      <c r="K78" s="155" t="str">
        <f>IF(M78="","",IF(B79="",SUM($J$13:$J78),SUM($J$13:$J78,$J79*(M78-A78)/(A79-A78))))</f>
        <v/>
      </c>
      <c r="L78" s="155" t="str">
        <f>IF(M78="","",IF(B79="",SUM($D$13:$D78,$R$12:$R78,$G$5:$G$10,$C$9,-$C$10),SUM($D$13:$D78,$R$12:$R78,$G$5:$G$10,$D79*(M78-A78)/(A79-A78),$C$9,-$C$10)))</f>
        <v/>
      </c>
      <c r="M78" s="157" t="str">
        <f t="shared" ref="M78:M134" si="22">IF(N78=N79,"",IF(A79="",A78,DATE(YEAR(A78),MONTH($J$12),DAY($J$12))))</f>
        <v/>
      </c>
      <c r="N78" s="158" t="str">
        <f t="shared" si="17"/>
        <v/>
      </c>
      <c r="O78" s="164" t="str">
        <f t="shared" si="13"/>
        <v/>
      </c>
      <c r="P78" s="166" t="str">
        <f t="shared" si="14"/>
        <v/>
      </c>
      <c r="R78" s="154"/>
      <c r="S78" s="150" t="str">
        <f t="shared" si="18"/>
        <v/>
      </c>
      <c r="T78" s="151" t="str">
        <f t="shared" si="19"/>
        <v/>
      </c>
    </row>
    <row r="79" spans="1:20">
      <c r="A79" s="160" t="str">
        <f t="shared" ref="A79:A134" si="23">IF(B79&lt;=($E$5*$E$7),IF(DATE(YEAR(A78),MONTH(A78)+12/$E$7+1,DAY(1))-1&lt;DATE(YEAR(A78),MONTH(A78)+12/$E$7,DAY($A$12)),DATE(YEAR(A78),MONTH(A78)+12/$E$7+1,DAY(1))-1,DATE(YEAR(A78),MONTH(A78)+12/$E$7,DAY($A$12))),"")</f>
        <v/>
      </c>
      <c r="B79" s="161" t="str">
        <f>IF($E$5*$E$7&lt;67,"",67)</f>
        <v/>
      </c>
      <c r="C79" s="162" t="str">
        <f t="shared" ref="C79:C134" si="24">IF(B79="","",IF($K$2=1,ROUND(D79+E79,2),ROUND(C78,2)))</f>
        <v/>
      </c>
      <c r="D79" s="162" t="str">
        <f t="shared" ref="D79:D134" si="25">IF(B79="","",ROUND(F78*E$6/E$7,2))</f>
        <v/>
      </c>
      <c r="E79" s="162" t="str">
        <f t="shared" ref="E79:E134" si="26">IF(B79="","",IF($K$2=1,ROUND(E78,2),ROUND(C79-D79,2)))</f>
        <v/>
      </c>
      <c r="F79" s="163" t="str">
        <f t="shared" ref="F79:F134" si="27">IF(B79="","",F78-E79)</f>
        <v/>
      </c>
      <c r="G79" s="154" t="str">
        <f>IF(C79="","",IF(SUM(C80:C$134)=0,C79-C$7+C$8+G$10+H79+R79,C79+H79+R79))</f>
        <v/>
      </c>
      <c r="H79" s="154"/>
      <c r="I79" s="155" t="str">
        <f t="shared" si="20"/>
        <v/>
      </c>
      <c r="J79" s="155" t="str">
        <f t="shared" si="21"/>
        <v/>
      </c>
      <c r="K79" s="155" t="str">
        <f>IF(M79="","",IF(B80="",SUM($J$13:$J79),SUM($J$13:$J79,$J80*(M79-A79)/(A80-A79))))</f>
        <v/>
      </c>
      <c r="L79" s="155" t="str">
        <f>IF(M79="","",IF(B80="",SUM($D$13:$D79,$R$12:$R79,$G$5:$G$10,$C$9,-$C$10),SUM($D$13:$D79,$R$12:$R79,$G$5:$G$10,$D80*(M79-A79)/(A80-A79),$C$9,-$C$10)))</f>
        <v/>
      </c>
      <c r="M79" s="157" t="str">
        <f t="shared" si="22"/>
        <v/>
      </c>
      <c r="N79" s="158" t="str">
        <f t="shared" si="17"/>
        <v/>
      </c>
      <c r="O79" s="164" t="str">
        <f t="shared" ref="O79:O134" si="28">IF(B79="","",IF($M$4=1,ROUND(-PMT((E$6+0.001)/E$7,(E$5*E$7-B78),F78,-C$8,0)-C79,2),0))</f>
        <v/>
      </c>
      <c r="P79" s="166" t="str">
        <f t="shared" ref="P79:P134" si="29">IF(B79="","",IF($N$4=1,ROUND(F78*0.001*DAYS360(A78,A79,1)/360/C79,6),0))</f>
        <v/>
      </c>
      <c r="R79" s="154"/>
      <c r="S79" s="150" t="str">
        <f t="shared" si="18"/>
        <v/>
      </c>
      <c r="T79" s="151" t="str">
        <f t="shared" si="19"/>
        <v/>
      </c>
    </row>
    <row r="80" spans="1:20">
      <c r="A80" s="160" t="str">
        <f t="shared" si="23"/>
        <v/>
      </c>
      <c r="B80" s="161" t="str">
        <f>IF($E$5*$E$7&lt;68,"",68)</f>
        <v/>
      </c>
      <c r="C80" s="162" t="str">
        <f t="shared" si="24"/>
        <v/>
      </c>
      <c r="D80" s="162" t="str">
        <f t="shared" si="25"/>
        <v/>
      </c>
      <c r="E80" s="162" t="str">
        <f t="shared" si="26"/>
        <v/>
      </c>
      <c r="F80" s="163" t="str">
        <f t="shared" si="27"/>
        <v/>
      </c>
      <c r="G80" s="154" t="str">
        <f>IF(C80="","",IF(SUM(C81:C$134)=0,C80-C$7+C$8+G$10+H80+R80,C80+H80+R80))</f>
        <v/>
      </c>
      <c r="H80" s="154"/>
      <c r="I80" s="155" t="str">
        <f t="shared" si="20"/>
        <v/>
      </c>
      <c r="J80" s="155" t="str">
        <f t="shared" si="21"/>
        <v/>
      </c>
      <c r="K80" s="155" t="str">
        <f>IF(M80="","",IF(B81="",SUM($J$13:$J80),SUM($J$13:$J80,$J81*(M80-A80)/(A81-A80))))</f>
        <v/>
      </c>
      <c r="L80" s="155" t="str">
        <f>IF(M80="","",IF(B81="",SUM($D$13:$D80,$R$12:$R80,$G$5:$G$10,$C$9,-$C$10),SUM($D$13:$D80,$R$12:$R80,$G$5:$G$10,$D81*(M80-A80)/(A81-A80),$C$9,-$C$10)))</f>
        <v/>
      </c>
      <c r="M80" s="157" t="str">
        <f t="shared" si="22"/>
        <v/>
      </c>
      <c r="N80" s="158" t="str">
        <f t="shared" si="17"/>
        <v/>
      </c>
      <c r="O80" s="164" t="str">
        <f t="shared" si="28"/>
        <v/>
      </c>
      <c r="P80" s="166" t="str">
        <f t="shared" si="29"/>
        <v/>
      </c>
      <c r="R80" s="154"/>
      <c r="S80" s="150" t="str">
        <f t="shared" si="18"/>
        <v/>
      </c>
      <c r="T80" s="151" t="str">
        <f t="shared" si="19"/>
        <v/>
      </c>
    </row>
    <row r="81" spans="1:20">
      <c r="A81" s="160" t="str">
        <f t="shared" si="23"/>
        <v/>
      </c>
      <c r="B81" s="161" t="str">
        <f>IF($E$5*$E$7&lt;69,"",69)</f>
        <v/>
      </c>
      <c r="C81" s="162" t="str">
        <f t="shared" si="24"/>
        <v/>
      </c>
      <c r="D81" s="162" t="str">
        <f t="shared" si="25"/>
        <v/>
      </c>
      <c r="E81" s="162" t="str">
        <f t="shared" si="26"/>
        <v/>
      </c>
      <c r="F81" s="163" t="str">
        <f t="shared" si="27"/>
        <v/>
      </c>
      <c r="G81" s="154" t="str">
        <f>IF(C81="","",IF(SUM(C82:C$134)=0,C81-C$7+C$8+G$10+H81+R81,C81+H81+R81))</f>
        <v/>
      </c>
      <c r="H81" s="154"/>
      <c r="I81" s="155" t="str">
        <f t="shared" si="20"/>
        <v/>
      </c>
      <c r="J81" s="155" t="str">
        <f t="shared" si="21"/>
        <v/>
      </c>
      <c r="K81" s="155" t="str">
        <f>IF(M81="","",IF(B82="",SUM($J$13:$J81),SUM($J$13:$J81,$J82*(M81-A81)/(A82-A81))))</f>
        <v/>
      </c>
      <c r="L81" s="155" t="str">
        <f>IF(M81="","",IF(B82="",SUM($D$13:$D81,$R$12:$R81,$G$5:$G$10,$C$9,-$C$10),SUM($D$13:$D81,$R$12:$R81,$G$5:$G$10,$D82*(M81-A81)/(A82-A81),$C$9,-$C$10)))</f>
        <v/>
      </c>
      <c r="M81" s="157" t="str">
        <f t="shared" si="22"/>
        <v/>
      </c>
      <c r="N81" s="158" t="str">
        <f t="shared" si="17"/>
        <v/>
      </c>
      <c r="O81" s="164" t="str">
        <f t="shared" si="28"/>
        <v/>
      </c>
      <c r="P81" s="166" t="str">
        <f t="shared" si="29"/>
        <v/>
      </c>
      <c r="R81" s="154"/>
      <c r="S81" s="150" t="str">
        <f t="shared" si="18"/>
        <v/>
      </c>
      <c r="T81" s="151" t="str">
        <f t="shared" si="19"/>
        <v/>
      </c>
    </row>
    <row r="82" spans="1:20">
      <c r="A82" s="160" t="str">
        <f t="shared" si="23"/>
        <v/>
      </c>
      <c r="B82" s="161" t="str">
        <f>IF($E$5*$E$7&lt;70,"",70)</f>
        <v/>
      </c>
      <c r="C82" s="162" t="str">
        <f t="shared" si="24"/>
        <v/>
      </c>
      <c r="D82" s="162" t="str">
        <f t="shared" si="25"/>
        <v/>
      </c>
      <c r="E82" s="162" t="str">
        <f t="shared" si="26"/>
        <v/>
      </c>
      <c r="F82" s="163" t="str">
        <f t="shared" si="27"/>
        <v/>
      </c>
      <c r="G82" s="154" t="str">
        <f>IF(C82="","",IF(SUM(C83:C$134)=0,C82-C$7+C$8+G$10+H82+R82,C82+H82+R82))</f>
        <v/>
      </c>
      <c r="H82" s="154"/>
      <c r="I82" s="155" t="str">
        <f t="shared" si="20"/>
        <v/>
      </c>
      <c r="J82" s="155" t="str">
        <f t="shared" si="21"/>
        <v/>
      </c>
      <c r="K82" s="155" t="str">
        <f>IF(M82="","",IF(B83="",SUM($J$13:$J82),SUM($J$13:$J82,$J83*(M82-A82)/(A83-A82))))</f>
        <v/>
      </c>
      <c r="L82" s="155" t="str">
        <f>IF(M82="","",IF(B83="",SUM($D$13:$D82,$R$12:$R82,$G$5:$G$10,$C$9,-$C$10),SUM($D$13:$D82,$R$12:$R82,$G$5:$G$10,$D83*(M82-A82)/(A83-A82),$C$9,-$C$10)))</f>
        <v/>
      </c>
      <c r="M82" s="157" t="str">
        <f t="shared" si="22"/>
        <v/>
      </c>
      <c r="N82" s="158" t="str">
        <f t="shared" si="17"/>
        <v/>
      </c>
      <c r="O82" s="164" t="str">
        <f t="shared" si="28"/>
        <v/>
      </c>
      <c r="P82" s="166" t="str">
        <f t="shared" si="29"/>
        <v/>
      </c>
      <c r="R82" s="154"/>
      <c r="S82" s="150" t="str">
        <f t="shared" si="18"/>
        <v/>
      </c>
      <c r="T82" s="151" t="str">
        <f t="shared" si="19"/>
        <v/>
      </c>
    </row>
    <row r="83" spans="1:20">
      <c r="A83" s="160" t="str">
        <f t="shared" si="23"/>
        <v/>
      </c>
      <c r="B83" s="161" t="str">
        <f>IF($E$5*$E$7&lt;71,"",71)</f>
        <v/>
      </c>
      <c r="C83" s="162" t="str">
        <f t="shared" si="24"/>
        <v/>
      </c>
      <c r="D83" s="162" t="str">
        <f t="shared" si="25"/>
        <v/>
      </c>
      <c r="E83" s="162" t="str">
        <f t="shared" si="26"/>
        <v/>
      </c>
      <c r="F83" s="163" t="str">
        <f t="shared" si="27"/>
        <v/>
      </c>
      <c r="G83" s="154" t="str">
        <f>IF(C83="","",IF(SUM(C84:C$134)=0,C83-C$7+C$8+G$10+H83+R83,C83+H83+R83))</f>
        <v/>
      </c>
      <c r="H83" s="154"/>
      <c r="I83" s="155" t="str">
        <f t="shared" si="20"/>
        <v/>
      </c>
      <c r="J83" s="155" t="str">
        <f t="shared" si="21"/>
        <v/>
      </c>
      <c r="K83" s="155" t="str">
        <f>IF(M83="","",IF(B84="",SUM($J$13:$J83),SUM($J$13:$J83,$J84*(M83-A83)/(A84-A83))))</f>
        <v/>
      </c>
      <c r="L83" s="155" t="str">
        <f>IF(M83="","",IF(B84="",SUM($D$13:$D83,$R$12:$R83,$G$5:$G$10,$C$9,-$C$10),SUM($D$13:$D83,$R$12:$R83,$G$5:$G$10,$D84*(M83-A83)/(A84-A83),$C$9,-$C$10)))</f>
        <v/>
      </c>
      <c r="M83" s="157" t="str">
        <f t="shared" si="22"/>
        <v/>
      </c>
      <c r="N83" s="158" t="str">
        <f t="shared" si="17"/>
        <v/>
      </c>
      <c r="O83" s="164" t="str">
        <f t="shared" si="28"/>
        <v/>
      </c>
      <c r="P83" s="166" t="str">
        <f t="shared" si="29"/>
        <v/>
      </c>
      <c r="R83" s="154"/>
      <c r="S83" s="150" t="str">
        <f t="shared" si="18"/>
        <v/>
      </c>
      <c r="T83" s="151" t="str">
        <f t="shared" si="19"/>
        <v/>
      </c>
    </row>
    <row r="84" spans="1:20">
      <c r="A84" s="160" t="str">
        <f t="shared" si="23"/>
        <v/>
      </c>
      <c r="B84" s="161" t="str">
        <f>IF($E$5*$E$7&lt;72,"",72)</f>
        <v/>
      </c>
      <c r="C84" s="162" t="str">
        <f t="shared" si="24"/>
        <v/>
      </c>
      <c r="D84" s="162" t="str">
        <f t="shared" si="25"/>
        <v/>
      </c>
      <c r="E84" s="162" t="str">
        <f t="shared" si="26"/>
        <v/>
      </c>
      <c r="F84" s="163" t="str">
        <f t="shared" si="27"/>
        <v/>
      </c>
      <c r="G84" s="154" t="str">
        <f>IF(C84="","",IF(SUM(C85:C$134)=0,C84-C$7+C$8+G$10+H84+R84,C84+H84+R84))</f>
        <v/>
      </c>
      <c r="H84" s="154"/>
      <c r="I84" s="155" t="str">
        <f t="shared" si="20"/>
        <v/>
      </c>
      <c r="J84" s="155" t="str">
        <f t="shared" si="21"/>
        <v/>
      </c>
      <c r="K84" s="155" t="str">
        <f>IF(M84="","",IF(B85="",SUM($J$13:$J84),SUM($J$13:$J84,$J85*(M84-A84)/(A85-A84))))</f>
        <v/>
      </c>
      <c r="L84" s="155" t="str">
        <f>IF(M84="","",IF(B85="",SUM($D$13:$D84,$R$12:$R84,$G$5:$G$10,$C$9,-$C$10),SUM($D$13:$D84,$R$12:$R84,$G$5:$G$10,$D85*(M84-A84)/(A85-A84),$C$9,-$C$10)))</f>
        <v/>
      </c>
      <c r="M84" s="157" t="str">
        <f t="shared" si="22"/>
        <v/>
      </c>
      <c r="N84" s="158" t="str">
        <f t="shared" si="17"/>
        <v/>
      </c>
      <c r="O84" s="164" t="str">
        <f t="shared" si="28"/>
        <v/>
      </c>
      <c r="P84" s="166" t="str">
        <f t="shared" si="29"/>
        <v/>
      </c>
      <c r="R84" s="154"/>
      <c r="S84" s="150" t="str">
        <f t="shared" si="18"/>
        <v/>
      </c>
      <c r="T84" s="151" t="str">
        <f t="shared" si="19"/>
        <v/>
      </c>
    </row>
    <row r="85" spans="1:20">
      <c r="A85" s="160" t="str">
        <f t="shared" si="23"/>
        <v/>
      </c>
      <c r="B85" s="161" t="str">
        <f>IF($E$5*$E$7&lt;73,"",73)</f>
        <v/>
      </c>
      <c r="C85" s="162" t="str">
        <f t="shared" si="24"/>
        <v/>
      </c>
      <c r="D85" s="162" t="str">
        <f t="shared" si="25"/>
        <v/>
      </c>
      <c r="E85" s="162" t="str">
        <f t="shared" si="26"/>
        <v/>
      </c>
      <c r="F85" s="163" t="str">
        <f t="shared" si="27"/>
        <v/>
      </c>
      <c r="G85" s="154" t="str">
        <f>IF(C85="","",IF(SUM(C86:C$134)=0,C85-C$7+C$8+G$10+H85+R85,C85+H85+R85))</f>
        <v/>
      </c>
      <c r="H85" s="154"/>
      <c r="I85" s="155" t="str">
        <f t="shared" si="20"/>
        <v/>
      </c>
      <c r="J85" s="155" t="str">
        <f t="shared" si="21"/>
        <v/>
      </c>
      <c r="K85" s="155" t="str">
        <f>IF(M85="","",IF(B86="",SUM($J$13:$J85),SUM($J$13:$J85,$J86*(M85-A85)/(A86-A85))))</f>
        <v/>
      </c>
      <c r="L85" s="155" t="str">
        <f>IF(M85="","",IF(B86="",SUM($D$13:$D85,$R$12:$R85,$G$5:$G$10,$C$9,-$C$10),SUM($D$13:$D85,$R$12:$R85,$G$5:$G$10,$D86*(M85-A85)/(A86-A85),$C$9,-$C$10)))</f>
        <v/>
      </c>
      <c r="M85" s="157" t="str">
        <f t="shared" si="22"/>
        <v/>
      </c>
      <c r="N85" s="158" t="str">
        <f t="shared" si="17"/>
        <v/>
      </c>
      <c r="O85" s="164" t="str">
        <f t="shared" si="28"/>
        <v/>
      </c>
      <c r="P85" s="166" t="str">
        <f t="shared" si="29"/>
        <v/>
      </c>
      <c r="R85" s="154"/>
      <c r="S85" s="150" t="str">
        <f t="shared" si="18"/>
        <v/>
      </c>
      <c r="T85" s="151" t="str">
        <f t="shared" si="19"/>
        <v/>
      </c>
    </row>
    <row r="86" spans="1:20">
      <c r="A86" s="160" t="str">
        <f t="shared" si="23"/>
        <v/>
      </c>
      <c r="B86" s="161" t="str">
        <f>IF($E$5*$E$7&lt;74,"",74)</f>
        <v/>
      </c>
      <c r="C86" s="162" t="str">
        <f t="shared" si="24"/>
        <v/>
      </c>
      <c r="D86" s="162" t="str">
        <f t="shared" si="25"/>
        <v/>
      </c>
      <c r="E86" s="162" t="str">
        <f t="shared" si="26"/>
        <v/>
      </c>
      <c r="F86" s="163" t="str">
        <f t="shared" si="27"/>
        <v/>
      </c>
      <c r="G86" s="154" t="str">
        <f>IF(C86="","",IF(SUM(C87:C$134)=0,C86-C$7+C$8+G$10+H86+R86,C86+H86+R86))</f>
        <v/>
      </c>
      <c r="H86" s="154"/>
      <c r="I86" s="155" t="str">
        <f t="shared" si="20"/>
        <v/>
      </c>
      <c r="J86" s="155" t="str">
        <f t="shared" si="21"/>
        <v/>
      </c>
      <c r="K86" s="155" t="str">
        <f>IF(M86="","",IF(B87="",SUM($J$13:$J86),SUM($J$13:$J86,$J87*(M86-A86)/(A87-A86))))</f>
        <v/>
      </c>
      <c r="L86" s="155" t="str">
        <f>IF(M86="","",IF(B87="",SUM($D$13:$D86,$R$12:$R86,$G$5:$G$10,$C$9,-$C$10),SUM($D$13:$D86,$R$12:$R86,$G$5:$G$10,$D87*(M86-A86)/(A87-A86),$C$9,-$C$10)))</f>
        <v/>
      </c>
      <c r="M86" s="157" t="str">
        <f t="shared" si="22"/>
        <v/>
      </c>
      <c r="N86" s="158" t="str">
        <f t="shared" si="17"/>
        <v/>
      </c>
      <c r="O86" s="164" t="str">
        <f t="shared" si="28"/>
        <v/>
      </c>
      <c r="P86" s="166" t="str">
        <f t="shared" si="29"/>
        <v/>
      </c>
      <c r="R86" s="154"/>
      <c r="S86" s="150" t="str">
        <f t="shared" si="18"/>
        <v/>
      </c>
      <c r="T86" s="151" t="str">
        <f t="shared" si="19"/>
        <v/>
      </c>
    </row>
    <row r="87" spans="1:20">
      <c r="A87" s="160" t="str">
        <f t="shared" si="23"/>
        <v/>
      </c>
      <c r="B87" s="161" t="str">
        <f>IF($E$5*$E$7&lt;75,"",75)</f>
        <v/>
      </c>
      <c r="C87" s="162" t="str">
        <f t="shared" si="24"/>
        <v/>
      </c>
      <c r="D87" s="162" t="str">
        <f t="shared" si="25"/>
        <v/>
      </c>
      <c r="E87" s="162" t="str">
        <f t="shared" si="26"/>
        <v/>
      </c>
      <c r="F87" s="163" t="str">
        <f t="shared" si="27"/>
        <v/>
      </c>
      <c r="G87" s="154" t="str">
        <f>IF(C87="","",IF(SUM(C88:C$134)=0,C87-C$7+C$8+G$10+H87+R87,C87+H87+R87))</f>
        <v/>
      </c>
      <c r="H87" s="154"/>
      <c r="I87" s="155" t="str">
        <f t="shared" si="20"/>
        <v/>
      </c>
      <c r="J87" s="155" t="str">
        <f t="shared" si="21"/>
        <v/>
      </c>
      <c r="K87" s="155" t="str">
        <f>IF(M87="","",IF(B88="",SUM($J$13:$J87),SUM($J$13:$J87,$J88*(M87-A87)/(A88-A87))))</f>
        <v/>
      </c>
      <c r="L87" s="155" t="str">
        <f>IF(M87="","",IF(B88="",SUM($D$13:$D87,$R$12:$R87,$G$5:$G$10,$C$9,-$C$10),SUM($D$13:$D87,$R$12:$R87,$G$5:$G$10,$D88*(M87-A87)/(A88-A87),$C$9,-$C$10)))</f>
        <v/>
      </c>
      <c r="M87" s="157" t="str">
        <f t="shared" si="22"/>
        <v/>
      </c>
      <c r="N87" s="158" t="str">
        <f t="shared" si="17"/>
        <v/>
      </c>
      <c r="O87" s="164" t="str">
        <f t="shared" si="28"/>
        <v/>
      </c>
      <c r="P87" s="166" t="str">
        <f t="shared" si="29"/>
        <v/>
      </c>
      <c r="R87" s="154"/>
      <c r="S87" s="150" t="str">
        <f t="shared" si="18"/>
        <v/>
      </c>
      <c r="T87" s="151" t="str">
        <f t="shared" si="19"/>
        <v/>
      </c>
    </row>
    <row r="88" spans="1:20">
      <c r="A88" s="160" t="str">
        <f t="shared" si="23"/>
        <v/>
      </c>
      <c r="B88" s="161" t="str">
        <f>IF($E$5*$E$7&lt;76,"",76)</f>
        <v/>
      </c>
      <c r="C88" s="162" t="str">
        <f t="shared" si="24"/>
        <v/>
      </c>
      <c r="D88" s="162" t="str">
        <f t="shared" si="25"/>
        <v/>
      </c>
      <c r="E88" s="162" t="str">
        <f t="shared" si="26"/>
        <v/>
      </c>
      <c r="F88" s="163" t="str">
        <f t="shared" si="27"/>
        <v/>
      </c>
      <c r="G88" s="154" t="str">
        <f>IF(C88="","",IF(SUM(C89:C$134)=0,C88-C$7+C$8+G$10+H88+R88,C88+H88+R88))</f>
        <v/>
      </c>
      <c r="H88" s="154"/>
      <c r="I88" s="155" t="str">
        <f t="shared" si="20"/>
        <v/>
      </c>
      <c r="J88" s="155" t="str">
        <f t="shared" si="21"/>
        <v/>
      </c>
      <c r="K88" s="155" t="str">
        <f>IF(M88="","",IF(B89="",SUM($J$13:$J88),SUM($J$13:$J88,$J89*(M88-A88)/(A89-A88))))</f>
        <v/>
      </c>
      <c r="L88" s="155" t="str">
        <f>IF(M88="","",IF(B89="",SUM($D$13:$D88,$R$12:$R88,$G$5:$G$10,$C$9,-$C$10),SUM($D$13:$D88,$R$12:$R88,$G$5:$G$10,$D89*(M88-A88)/(A89-A88),$C$9,-$C$10)))</f>
        <v/>
      </c>
      <c r="M88" s="157" t="str">
        <f t="shared" si="22"/>
        <v/>
      </c>
      <c r="N88" s="158" t="str">
        <f t="shared" si="17"/>
        <v/>
      </c>
      <c r="O88" s="164" t="str">
        <f t="shared" si="28"/>
        <v/>
      </c>
      <c r="P88" s="166" t="str">
        <f t="shared" si="29"/>
        <v/>
      </c>
      <c r="R88" s="154"/>
      <c r="S88" s="150" t="str">
        <f t="shared" si="18"/>
        <v/>
      </c>
      <c r="T88" s="151" t="str">
        <f t="shared" si="19"/>
        <v/>
      </c>
    </row>
    <row r="89" spans="1:20">
      <c r="A89" s="160" t="str">
        <f t="shared" si="23"/>
        <v/>
      </c>
      <c r="B89" s="161" t="str">
        <f>IF($E$5*$E$7&lt;77,"",77)</f>
        <v/>
      </c>
      <c r="C89" s="162" t="str">
        <f t="shared" si="24"/>
        <v/>
      </c>
      <c r="D89" s="162" t="str">
        <f t="shared" si="25"/>
        <v/>
      </c>
      <c r="E89" s="162" t="str">
        <f t="shared" si="26"/>
        <v/>
      </c>
      <c r="F89" s="163" t="str">
        <f t="shared" si="27"/>
        <v/>
      </c>
      <c r="G89" s="154" t="str">
        <f>IF(C89="","",IF(SUM(C90:C$134)=0,C89-C$7+C$8+G$10+H89+R89,C89+H89+R89))</f>
        <v/>
      </c>
      <c r="H89" s="154"/>
      <c r="I89" s="155" t="str">
        <f t="shared" si="20"/>
        <v/>
      </c>
      <c r="J89" s="155" t="str">
        <f t="shared" si="21"/>
        <v/>
      </c>
      <c r="K89" s="155" t="str">
        <f>IF(M89="","",IF(B90="",SUM($J$13:$J89),SUM($J$13:$J89,$J90*(M89-A89)/(A90-A89))))</f>
        <v/>
      </c>
      <c r="L89" s="155" t="str">
        <f>IF(M89="","",IF(B90="",SUM($D$13:$D89,$R$12:$R89,$G$5:$G$10,$C$9,-$C$10),SUM($D$13:$D89,$R$12:$R89,$G$5:$G$10,$D90*(M89-A89)/(A90-A89),$C$9,-$C$10)))</f>
        <v/>
      </c>
      <c r="M89" s="157" t="str">
        <f t="shared" si="22"/>
        <v/>
      </c>
      <c r="N89" s="158" t="str">
        <f t="shared" si="17"/>
        <v/>
      </c>
      <c r="O89" s="164" t="str">
        <f t="shared" si="28"/>
        <v/>
      </c>
      <c r="P89" s="166" t="str">
        <f t="shared" si="29"/>
        <v/>
      </c>
      <c r="R89" s="154"/>
      <c r="S89" s="150" t="str">
        <f t="shared" si="18"/>
        <v/>
      </c>
      <c r="T89" s="151" t="str">
        <f t="shared" si="19"/>
        <v/>
      </c>
    </row>
    <row r="90" spans="1:20">
      <c r="A90" s="160" t="str">
        <f t="shared" si="23"/>
        <v/>
      </c>
      <c r="B90" s="161" t="str">
        <f>IF($E$5*$E$7&lt;78,"",78)</f>
        <v/>
      </c>
      <c r="C90" s="162" t="str">
        <f t="shared" si="24"/>
        <v/>
      </c>
      <c r="D90" s="162" t="str">
        <f t="shared" si="25"/>
        <v/>
      </c>
      <c r="E90" s="162" t="str">
        <f t="shared" si="26"/>
        <v/>
      </c>
      <c r="F90" s="163" t="str">
        <f t="shared" si="27"/>
        <v/>
      </c>
      <c r="G90" s="154" t="str">
        <f>IF(C90="","",IF(SUM(C91:C$134)=0,C90-C$7+C$8+G$10+H90+R90,C90+H90+R90))</f>
        <v/>
      </c>
      <c r="H90" s="154"/>
      <c r="I90" s="155" t="str">
        <f t="shared" si="20"/>
        <v/>
      </c>
      <c r="J90" s="155" t="str">
        <f t="shared" si="21"/>
        <v/>
      </c>
      <c r="K90" s="155" t="str">
        <f>IF(M90="","",IF(B91="",SUM($J$13:$J90),SUM($J$13:$J90,$J91*(M90-A90)/(A91-A90))))</f>
        <v/>
      </c>
      <c r="L90" s="155" t="str">
        <f>IF(M90="","",IF(B91="",SUM($D$13:$D90,$R$12:$R90,$G$5:$G$10,$C$9,-$C$10),SUM($D$13:$D90,$R$12:$R90,$G$5:$G$10,$D91*(M90-A90)/(A91-A90),$C$9,-$C$10)))</f>
        <v/>
      </c>
      <c r="M90" s="157" t="str">
        <f t="shared" si="22"/>
        <v/>
      </c>
      <c r="N90" s="158" t="str">
        <f t="shared" si="17"/>
        <v/>
      </c>
      <c r="O90" s="164" t="str">
        <f t="shared" si="28"/>
        <v/>
      </c>
      <c r="P90" s="166" t="str">
        <f t="shared" si="29"/>
        <v/>
      </c>
      <c r="R90" s="154"/>
      <c r="S90" s="150" t="str">
        <f t="shared" si="18"/>
        <v/>
      </c>
      <c r="T90" s="151" t="str">
        <f t="shared" si="19"/>
        <v/>
      </c>
    </row>
    <row r="91" spans="1:20">
      <c r="A91" s="160" t="str">
        <f t="shared" si="23"/>
        <v/>
      </c>
      <c r="B91" s="161" t="str">
        <f>IF($E$5*$E$7&lt;79,"",79)</f>
        <v/>
      </c>
      <c r="C91" s="162" t="str">
        <f t="shared" si="24"/>
        <v/>
      </c>
      <c r="D91" s="162" t="str">
        <f t="shared" si="25"/>
        <v/>
      </c>
      <c r="E91" s="162" t="str">
        <f t="shared" si="26"/>
        <v/>
      </c>
      <c r="F91" s="163" t="str">
        <f t="shared" si="27"/>
        <v/>
      </c>
      <c r="G91" s="154" t="str">
        <f>IF(C91="","",IF(SUM(C92:C$134)=0,C91-C$7+C$8+G$10+H91+R91,C91+H91+R91))</f>
        <v/>
      </c>
      <c r="H91" s="154"/>
      <c r="I91" s="155" t="str">
        <f t="shared" si="20"/>
        <v/>
      </c>
      <c r="J91" s="155" t="str">
        <f t="shared" si="21"/>
        <v/>
      </c>
      <c r="K91" s="155" t="str">
        <f>IF(M91="","",IF(B92="",SUM($J$13:$J91),SUM($J$13:$J91,$J92*(M91-A91)/(A92-A91))))</f>
        <v/>
      </c>
      <c r="L91" s="155" t="str">
        <f>IF(M91="","",IF(B92="",SUM($D$13:$D91,$R$12:$R91,$G$5:$G$10,$C$9,-$C$10),SUM($D$13:$D91,$R$12:$R91,$G$5:$G$10,$D92*(M91-A91)/(A92-A91),$C$9,-$C$10)))</f>
        <v/>
      </c>
      <c r="M91" s="157" t="str">
        <f t="shared" si="22"/>
        <v/>
      </c>
      <c r="N91" s="158" t="str">
        <f t="shared" si="17"/>
        <v/>
      </c>
      <c r="O91" s="164" t="str">
        <f t="shared" si="28"/>
        <v/>
      </c>
      <c r="P91" s="166" t="str">
        <f t="shared" si="29"/>
        <v/>
      </c>
      <c r="R91" s="154"/>
      <c r="S91" s="150" t="str">
        <f t="shared" si="18"/>
        <v/>
      </c>
      <c r="T91" s="151" t="str">
        <f t="shared" si="19"/>
        <v/>
      </c>
    </row>
    <row r="92" spans="1:20">
      <c r="A92" s="160" t="str">
        <f t="shared" si="23"/>
        <v/>
      </c>
      <c r="B92" s="161" t="str">
        <f>IF($E$5*$E$7&lt;80,"",80)</f>
        <v/>
      </c>
      <c r="C92" s="162" t="str">
        <f t="shared" si="24"/>
        <v/>
      </c>
      <c r="D92" s="162" t="str">
        <f t="shared" si="25"/>
        <v/>
      </c>
      <c r="E92" s="162" t="str">
        <f t="shared" si="26"/>
        <v/>
      </c>
      <c r="F92" s="163" t="str">
        <f t="shared" si="27"/>
        <v/>
      </c>
      <c r="G92" s="154" t="str">
        <f>IF(C92="","",IF(SUM(C93:C$134)=0,C92-C$7+C$8+G$10+H92+R92,C92+H92+R92))</f>
        <v/>
      </c>
      <c r="H92" s="154"/>
      <c r="I92" s="155" t="str">
        <f t="shared" si="20"/>
        <v/>
      </c>
      <c r="J92" s="155" t="str">
        <f t="shared" si="21"/>
        <v/>
      </c>
      <c r="K92" s="155" t="str">
        <f>IF(M92="","",IF(B93="",SUM($J$13:$J92),SUM($J$13:$J92,$J93*(M92-A92)/(A93-A92))))</f>
        <v/>
      </c>
      <c r="L92" s="155" t="str">
        <f>IF(M92="","",IF(B93="",SUM($D$13:$D92,$R$12:$R92,$G$5:$G$10,$C$9,-$C$10),SUM($D$13:$D92,$R$12:$R92,$G$5:$G$10,$D93*(M92-A92)/(A93-A92),$C$9,-$C$10)))</f>
        <v/>
      </c>
      <c r="M92" s="157" t="str">
        <f t="shared" si="22"/>
        <v/>
      </c>
      <c r="N92" s="158" t="str">
        <f t="shared" si="17"/>
        <v/>
      </c>
      <c r="O92" s="164" t="str">
        <f t="shared" si="28"/>
        <v/>
      </c>
      <c r="P92" s="166" t="str">
        <f t="shared" si="29"/>
        <v/>
      </c>
      <c r="R92" s="154"/>
      <c r="S92" s="150" t="str">
        <f t="shared" si="18"/>
        <v/>
      </c>
      <c r="T92" s="151" t="str">
        <f t="shared" si="19"/>
        <v/>
      </c>
    </row>
    <row r="93" spans="1:20">
      <c r="A93" s="160" t="str">
        <f t="shared" si="23"/>
        <v/>
      </c>
      <c r="B93" s="161" t="str">
        <f>IF($E$5*$E$7&lt;81,"",81)</f>
        <v/>
      </c>
      <c r="C93" s="162" t="str">
        <f t="shared" si="24"/>
        <v/>
      </c>
      <c r="D93" s="162" t="str">
        <f t="shared" si="25"/>
        <v/>
      </c>
      <c r="E93" s="162" t="str">
        <f t="shared" si="26"/>
        <v/>
      </c>
      <c r="F93" s="163" t="str">
        <f t="shared" si="27"/>
        <v/>
      </c>
      <c r="G93" s="154" t="str">
        <f>IF(C93="","",IF(SUM(C94:C$134)=0,C93-C$7+C$8+G$10+H93+R93,C93+H93+R93))</f>
        <v/>
      </c>
      <c r="H93" s="154"/>
      <c r="I93" s="155" t="str">
        <f t="shared" si="20"/>
        <v/>
      </c>
      <c r="J93" s="155" t="str">
        <f t="shared" si="21"/>
        <v/>
      </c>
      <c r="K93" s="155" t="str">
        <f>IF(M93="","",IF(B94="",SUM($J$13:$J93),SUM($J$13:$J93,$J94*(M93-A93)/(A94-A93))))</f>
        <v/>
      </c>
      <c r="L93" s="155" t="str">
        <f>IF(M93="","",IF(B94="",SUM($D$13:$D93,$R$12:$R93,$G$5:$G$10,$C$9,-$C$10),SUM($D$13:$D93,$R$12:$R93,$G$5:$G$10,$D94*(M93-A93)/(A94-A93),$C$9,-$C$10)))</f>
        <v/>
      </c>
      <c r="M93" s="157" t="str">
        <f t="shared" si="22"/>
        <v/>
      </c>
      <c r="N93" s="158" t="str">
        <f t="shared" si="17"/>
        <v/>
      </c>
      <c r="O93" s="164" t="str">
        <f t="shared" si="28"/>
        <v/>
      </c>
      <c r="P93" s="166" t="str">
        <f t="shared" si="29"/>
        <v/>
      </c>
      <c r="R93" s="154"/>
      <c r="S93" s="150" t="str">
        <f t="shared" si="18"/>
        <v/>
      </c>
      <c r="T93" s="151" t="str">
        <f t="shared" si="19"/>
        <v/>
      </c>
    </row>
    <row r="94" spans="1:20">
      <c r="A94" s="160" t="str">
        <f t="shared" si="23"/>
        <v/>
      </c>
      <c r="B94" s="161" t="str">
        <f>IF($E$5*$E$7&lt;82,"",82)</f>
        <v/>
      </c>
      <c r="C94" s="162" t="str">
        <f t="shared" si="24"/>
        <v/>
      </c>
      <c r="D94" s="162" t="str">
        <f t="shared" si="25"/>
        <v/>
      </c>
      <c r="E94" s="162" t="str">
        <f t="shared" si="26"/>
        <v/>
      </c>
      <c r="F94" s="163" t="str">
        <f t="shared" si="27"/>
        <v/>
      </c>
      <c r="G94" s="154" t="str">
        <f>IF(C94="","",IF(SUM(C95:C$134)=0,C94-C$7+C$8+G$10+H94+R94,C94+H94+R94))</f>
        <v/>
      </c>
      <c r="H94" s="154"/>
      <c r="I94" s="155" t="str">
        <f t="shared" si="20"/>
        <v/>
      </c>
      <c r="J94" s="155" t="str">
        <f t="shared" si="21"/>
        <v/>
      </c>
      <c r="K94" s="155" t="str">
        <f>IF(M94="","",IF(B95="",SUM($J$13:$J94),SUM($J$13:$J94,$J95*(M94-A94)/(A95-A94))))</f>
        <v/>
      </c>
      <c r="L94" s="155" t="str">
        <f>IF(M94="","",IF(B95="",SUM($D$13:$D94,$R$12:$R94,$G$5:$G$10,$C$9,-$C$10),SUM($D$13:$D94,$R$12:$R94,$G$5:$G$10,$D95*(M94-A94)/(A95-A94),$C$9,-$C$10)))</f>
        <v/>
      </c>
      <c r="M94" s="157" t="str">
        <f t="shared" si="22"/>
        <v/>
      </c>
      <c r="N94" s="158" t="str">
        <f t="shared" si="17"/>
        <v/>
      </c>
      <c r="O94" s="164" t="str">
        <f t="shared" si="28"/>
        <v/>
      </c>
      <c r="P94" s="166" t="str">
        <f t="shared" si="29"/>
        <v/>
      </c>
      <c r="R94" s="154"/>
      <c r="S94" s="150" t="str">
        <f t="shared" si="18"/>
        <v/>
      </c>
      <c r="T94" s="151" t="str">
        <f t="shared" si="19"/>
        <v/>
      </c>
    </row>
    <row r="95" spans="1:20">
      <c r="A95" s="160" t="str">
        <f t="shared" si="23"/>
        <v/>
      </c>
      <c r="B95" s="161" t="str">
        <f>IF($E$5*$E$7&lt;83,"",83)</f>
        <v/>
      </c>
      <c r="C95" s="162" t="str">
        <f t="shared" si="24"/>
        <v/>
      </c>
      <c r="D95" s="162" t="str">
        <f t="shared" si="25"/>
        <v/>
      </c>
      <c r="E95" s="162" t="str">
        <f t="shared" si="26"/>
        <v/>
      </c>
      <c r="F95" s="163" t="str">
        <f t="shared" si="27"/>
        <v/>
      </c>
      <c r="G95" s="154" t="str">
        <f>IF(C95="","",IF(SUM(C96:C$134)=0,C95-C$7+C$8+G$10+H95+R95,C95+H95+R95))</f>
        <v/>
      </c>
      <c r="H95" s="154"/>
      <c r="I95" s="155" t="str">
        <f t="shared" si="20"/>
        <v/>
      </c>
      <c r="J95" s="155" t="str">
        <f t="shared" si="21"/>
        <v/>
      </c>
      <c r="K95" s="155" t="str">
        <f>IF(M95="","",IF(B96="",SUM($J$13:$J95),SUM($J$13:$J95,$J96*(M95-A95)/(A96-A95))))</f>
        <v/>
      </c>
      <c r="L95" s="155" t="str">
        <f>IF(M95="","",IF(B96="",SUM($D$13:$D95,$R$12:$R95,$G$5:$G$10,$C$9,-$C$10),SUM($D$13:$D95,$R$12:$R95,$G$5:$G$10,$D96*(M95-A95)/(A96-A95),$C$9,-$C$10)))</f>
        <v/>
      </c>
      <c r="M95" s="157" t="str">
        <f t="shared" si="22"/>
        <v/>
      </c>
      <c r="N95" s="158" t="str">
        <f t="shared" si="17"/>
        <v/>
      </c>
      <c r="O95" s="164" t="str">
        <f t="shared" si="28"/>
        <v/>
      </c>
      <c r="P95" s="166" t="str">
        <f t="shared" si="29"/>
        <v/>
      </c>
      <c r="R95" s="154"/>
      <c r="S95" s="150" t="str">
        <f t="shared" si="18"/>
        <v/>
      </c>
      <c r="T95" s="151" t="str">
        <f t="shared" si="19"/>
        <v/>
      </c>
    </row>
    <row r="96" spans="1:20">
      <c r="A96" s="160" t="str">
        <f t="shared" si="23"/>
        <v/>
      </c>
      <c r="B96" s="161" t="str">
        <f>IF($E$5*$E$7&lt;84,"",84)</f>
        <v/>
      </c>
      <c r="C96" s="162" t="str">
        <f t="shared" si="24"/>
        <v/>
      </c>
      <c r="D96" s="162" t="str">
        <f t="shared" si="25"/>
        <v/>
      </c>
      <c r="E96" s="162" t="str">
        <f t="shared" si="26"/>
        <v/>
      </c>
      <c r="F96" s="163" t="str">
        <f t="shared" si="27"/>
        <v/>
      </c>
      <c r="G96" s="154" t="str">
        <f>IF(C96="","",IF(SUM(C97:C$134)=0,C96-C$7+C$8+G$10+H96+R96,C96+H96+R96))</f>
        <v/>
      </c>
      <c r="H96" s="154"/>
      <c r="I96" s="155" t="str">
        <f t="shared" si="20"/>
        <v/>
      </c>
      <c r="J96" s="155" t="str">
        <f t="shared" si="21"/>
        <v/>
      </c>
      <c r="K96" s="155" t="str">
        <f>IF(M96="","",IF(B97="",SUM($J$13:$J96),SUM($J$13:$J96,$J97*(M96-A96)/(A97-A96))))</f>
        <v/>
      </c>
      <c r="L96" s="155" t="str">
        <f>IF(M96="","",IF(B97="",SUM($D$13:$D96,$R$12:$R96,$G$5:$G$10,$C$9,-$C$10),SUM($D$13:$D96,$R$12:$R96,$G$5:$G$10,$D97*(M96-A96)/(A97-A96),$C$9,-$C$10)))</f>
        <v/>
      </c>
      <c r="M96" s="157" t="str">
        <f t="shared" si="22"/>
        <v/>
      </c>
      <c r="N96" s="158" t="str">
        <f t="shared" si="17"/>
        <v/>
      </c>
      <c r="O96" s="164" t="str">
        <f t="shared" si="28"/>
        <v/>
      </c>
      <c r="P96" s="166" t="str">
        <f t="shared" si="29"/>
        <v/>
      </c>
      <c r="R96" s="154"/>
      <c r="S96" s="150" t="str">
        <f t="shared" si="18"/>
        <v/>
      </c>
      <c r="T96" s="151" t="str">
        <f t="shared" si="19"/>
        <v/>
      </c>
    </row>
    <row r="97" spans="1:20">
      <c r="A97" s="160" t="str">
        <f t="shared" si="23"/>
        <v/>
      </c>
      <c r="B97" s="161" t="str">
        <f>IF($E$5*$E$7&lt;85,"",85)</f>
        <v/>
      </c>
      <c r="C97" s="162" t="str">
        <f t="shared" si="24"/>
        <v/>
      </c>
      <c r="D97" s="162" t="str">
        <f t="shared" si="25"/>
        <v/>
      </c>
      <c r="E97" s="162" t="str">
        <f t="shared" si="26"/>
        <v/>
      </c>
      <c r="F97" s="163" t="str">
        <f t="shared" si="27"/>
        <v/>
      </c>
      <c r="G97" s="154" t="str">
        <f>IF(C97="","",IF(SUM(C98:C$134)=0,C97-C$7+C$8+G$10+H97+R97,C97+H97+R97))</f>
        <v/>
      </c>
      <c r="H97" s="154"/>
      <c r="I97" s="155" t="str">
        <f t="shared" si="20"/>
        <v/>
      </c>
      <c r="J97" s="155" t="str">
        <f t="shared" si="21"/>
        <v/>
      </c>
      <c r="K97" s="155" t="str">
        <f>IF(M97="","",IF(B98="",SUM($J$13:$J97),SUM($J$13:$J97,$J98*(M97-A97)/(A98-A97))))</f>
        <v/>
      </c>
      <c r="L97" s="155" t="str">
        <f>IF(M97="","",IF(B98="",SUM($D$13:$D97,$R$12:$R97,$G$5:$G$10,$C$9,-$C$10),SUM($D$13:$D97,$R$12:$R97,$G$5:$G$10,$D98*(M97-A97)/(A98-A97),$C$9,-$C$10)))</f>
        <v/>
      </c>
      <c r="M97" s="157" t="str">
        <f t="shared" si="22"/>
        <v/>
      </c>
      <c r="N97" s="158" t="str">
        <f t="shared" si="17"/>
        <v/>
      </c>
      <c r="O97" s="164" t="str">
        <f t="shared" si="28"/>
        <v/>
      </c>
      <c r="P97" s="166" t="str">
        <f t="shared" si="29"/>
        <v/>
      </c>
      <c r="R97" s="154"/>
      <c r="S97" s="150" t="str">
        <f t="shared" si="18"/>
        <v/>
      </c>
      <c r="T97" s="151" t="str">
        <f t="shared" si="19"/>
        <v/>
      </c>
    </row>
    <row r="98" spans="1:20">
      <c r="A98" s="160" t="str">
        <f t="shared" si="23"/>
        <v/>
      </c>
      <c r="B98" s="161" t="str">
        <f>IF($E$5*$E$7&lt;86,"",86)</f>
        <v/>
      </c>
      <c r="C98" s="162" t="str">
        <f t="shared" si="24"/>
        <v/>
      </c>
      <c r="D98" s="162" t="str">
        <f t="shared" si="25"/>
        <v/>
      </c>
      <c r="E98" s="162" t="str">
        <f t="shared" si="26"/>
        <v/>
      </c>
      <c r="F98" s="163" t="str">
        <f t="shared" si="27"/>
        <v/>
      </c>
      <c r="G98" s="154" t="str">
        <f>IF(C98="","",IF(SUM(C99:C$134)=0,C98-C$7+C$8+G$10+H98+R98,C98+H98+R98))</f>
        <v/>
      </c>
      <c r="H98" s="154"/>
      <c r="I98" s="155" t="str">
        <f t="shared" si="20"/>
        <v/>
      </c>
      <c r="J98" s="155" t="str">
        <f t="shared" si="21"/>
        <v/>
      </c>
      <c r="K98" s="155" t="str">
        <f>IF(M98="","",IF(B99="",SUM($J$13:$J98),SUM($J$13:$J98,$J99*(M98-A98)/(A99-A98))))</f>
        <v/>
      </c>
      <c r="L98" s="155" t="str">
        <f>IF(M98="","",IF(B99="",SUM($D$13:$D98,$R$12:$R98,$G$5:$G$10,$C$9,-$C$10),SUM($D$13:$D98,$R$12:$R98,$G$5:$G$10,$D99*(M98-A98)/(A99-A98),$C$9,-$C$10)))</f>
        <v/>
      </c>
      <c r="M98" s="157" t="str">
        <f t="shared" si="22"/>
        <v/>
      </c>
      <c r="N98" s="158" t="str">
        <f t="shared" si="17"/>
        <v/>
      </c>
      <c r="O98" s="164" t="str">
        <f t="shared" si="28"/>
        <v/>
      </c>
      <c r="P98" s="166" t="str">
        <f t="shared" si="29"/>
        <v/>
      </c>
      <c r="R98" s="154"/>
      <c r="S98" s="150" t="str">
        <f t="shared" si="18"/>
        <v/>
      </c>
      <c r="T98" s="151" t="str">
        <f t="shared" si="19"/>
        <v/>
      </c>
    </row>
    <row r="99" spans="1:20">
      <c r="A99" s="160" t="str">
        <f t="shared" si="23"/>
        <v/>
      </c>
      <c r="B99" s="161" t="str">
        <f>IF($E$5*$E$7&lt;87,"",87)</f>
        <v/>
      </c>
      <c r="C99" s="162" t="str">
        <f t="shared" si="24"/>
        <v/>
      </c>
      <c r="D99" s="162" t="str">
        <f t="shared" si="25"/>
        <v/>
      </c>
      <c r="E99" s="162" t="str">
        <f t="shared" si="26"/>
        <v/>
      </c>
      <c r="F99" s="163" t="str">
        <f t="shared" si="27"/>
        <v/>
      </c>
      <c r="G99" s="154" t="str">
        <f>IF(C99="","",IF(SUM(C100:C$134)=0,C99-C$7+C$8+G$10+H99+R99,C99+H99+R99))</f>
        <v/>
      </c>
      <c r="H99" s="154"/>
      <c r="I99" s="155" t="str">
        <f t="shared" si="20"/>
        <v/>
      </c>
      <c r="J99" s="155" t="str">
        <f t="shared" si="21"/>
        <v/>
      </c>
      <c r="K99" s="155" t="str">
        <f>IF(M99="","",IF(B100="",SUM($J$13:$J99),SUM($J$13:$J99,$J100*(M99-A99)/(A100-A99))))</f>
        <v/>
      </c>
      <c r="L99" s="155" t="str">
        <f>IF(M99="","",IF(B100="",SUM($D$13:$D99,$R$12:$R99,$G$5:$G$10,$C$9,-$C$10),SUM($D$13:$D99,$R$12:$R99,$G$5:$G$10,$D100*(M99-A99)/(A100-A99),$C$9,-$C$10)))</f>
        <v/>
      </c>
      <c r="M99" s="157" t="str">
        <f t="shared" si="22"/>
        <v/>
      </c>
      <c r="N99" s="158" t="str">
        <f t="shared" si="17"/>
        <v/>
      </c>
      <c r="O99" s="164" t="str">
        <f t="shared" si="28"/>
        <v/>
      </c>
      <c r="P99" s="166" t="str">
        <f t="shared" si="29"/>
        <v/>
      </c>
      <c r="R99" s="154"/>
      <c r="S99" s="150" t="str">
        <f t="shared" si="18"/>
        <v/>
      </c>
      <c r="T99" s="151" t="str">
        <f t="shared" si="19"/>
        <v/>
      </c>
    </row>
    <row r="100" spans="1:20">
      <c r="A100" s="160" t="str">
        <f t="shared" si="23"/>
        <v/>
      </c>
      <c r="B100" s="161" t="str">
        <f>IF($E$5*$E$7&lt;88,"",88)</f>
        <v/>
      </c>
      <c r="C100" s="162" t="str">
        <f t="shared" si="24"/>
        <v/>
      </c>
      <c r="D100" s="162" t="str">
        <f t="shared" si="25"/>
        <v/>
      </c>
      <c r="E100" s="162" t="str">
        <f t="shared" si="26"/>
        <v/>
      </c>
      <c r="F100" s="163" t="str">
        <f t="shared" si="27"/>
        <v/>
      </c>
      <c r="G100" s="154" t="str">
        <f>IF(C100="","",IF(SUM(C101:C$134)=0,C100-C$7+C$8+G$10+H100+R100,C100+H100+R100))</f>
        <v/>
      </c>
      <c r="H100" s="154"/>
      <c r="I100" s="155" t="str">
        <f t="shared" si="20"/>
        <v/>
      </c>
      <c r="J100" s="155" t="str">
        <f t="shared" si="21"/>
        <v/>
      </c>
      <c r="K100" s="155" t="str">
        <f>IF(M100="","",IF(B101="",SUM($J$13:$J100),SUM($J$13:$J100,$J101*(M100-A100)/(A101-A100))))</f>
        <v/>
      </c>
      <c r="L100" s="155" t="str">
        <f>IF(M100="","",IF(B101="",SUM($D$13:$D100,$R$12:$R100,$G$5:$G$10,$C$9,-$C$10),SUM($D$13:$D100,$R$12:$R100,$G$5:$G$10,$D101*(M100-A100)/(A101-A100),$C$9,-$C$10)))</f>
        <v/>
      </c>
      <c r="M100" s="157" t="str">
        <f t="shared" si="22"/>
        <v/>
      </c>
      <c r="N100" s="158" t="str">
        <f t="shared" si="17"/>
        <v/>
      </c>
      <c r="O100" s="164" t="str">
        <f t="shared" si="28"/>
        <v/>
      </c>
      <c r="P100" s="166" t="str">
        <f t="shared" si="29"/>
        <v/>
      </c>
      <c r="R100" s="154"/>
      <c r="S100" s="150" t="str">
        <f t="shared" si="18"/>
        <v/>
      </c>
      <c r="T100" s="151" t="str">
        <f t="shared" si="19"/>
        <v/>
      </c>
    </row>
    <row r="101" spans="1:20">
      <c r="A101" s="160" t="str">
        <f t="shared" si="23"/>
        <v/>
      </c>
      <c r="B101" s="161" t="str">
        <f>IF($E$5*$E$7&lt;89,"",89)</f>
        <v/>
      </c>
      <c r="C101" s="162" t="str">
        <f t="shared" si="24"/>
        <v/>
      </c>
      <c r="D101" s="162" t="str">
        <f t="shared" si="25"/>
        <v/>
      </c>
      <c r="E101" s="162" t="str">
        <f t="shared" si="26"/>
        <v/>
      </c>
      <c r="F101" s="163" t="str">
        <f t="shared" si="27"/>
        <v/>
      </c>
      <c r="G101" s="154" t="str">
        <f>IF(C101="","",IF(SUM(C102:C$134)=0,C101-C$7+C$8+G$10+H101+R101,C101+H101+R101))</f>
        <v/>
      </c>
      <c r="H101" s="154"/>
      <c r="I101" s="155" t="str">
        <f t="shared" si="20"/>
        <v/>
      </c>
      <c r="J101" s="155" t="str">
        <f t="shared" si="21"/>
        <v/>
      </c>
      <c r="K101" s="155" t="str">
        <f>IF(M101="","",IF(B102="",SUM($J$13:$J101),SUM($J$13:$J101,$J102*(M101-A101)/(A102-A101))))</f>
        <v/>
      </c>
      <c r="L101" s="155" t="str">
        <f>IF(M101="","",IF(B102="",SUM($D$13:$D101,$R$12:$R101,$G$5:$G$10,$C$9,-$C$10),SUM($D$13:$D101,$R$12:$R101,$G$5:$G$10,$D102*(M101-A101)/(A102-A101),$C$9,-$C$10)))</f>
        <v/>
      </c>
      <c r="M101" s="157" t="str">
        <f t="shared" si="22"/>
        <v/>
      </c>
      <c r="N101" s="158" t="str">
        <f t="shared" si="17"/>
        <v/>
      </c>
      <c r="O101" s="164" t="str">
        <f t="shared" si="28"/>
        <v/>
      </c>
      <c r="P101" s="166" t="str">
        <f t="shared" si="29"/>
        <v/>
      </c>
      <c r="R101" s="154"/>
      <c r="S101" s="150" t="str">
        <f t="shared" si="18"/>
        <v/>
      </c>
      <c r="T101" s="151" t="str">
        <f t="shared" si="19"/>
        <v/>
      </c>
    </row>
    <row r="102" spans="1:20">
      <c r="A102" s="160" t="str">
        <f t="shared" si="23"/>
        <v/>
      </c>
      <c r="B102" s="161" t="str">
        <f>IF($E$5*$E$7&lt;90,"",90)</f>
        <v/>
      </c>
      <c r="C102" s="162" t="str">
        <f t="shared" si="24"/>
        <v/>
      </c>
      <c r="D102" s="162" t="str">
        <f t="shared" si="25"/>
        <v/>
      </c>
      <c r="E102" s="162" t="str">
        <f t="shared" si="26"/>
        <v/>
      </c>
      <c r="F102" s="163" t="str">
        <f t="shared" si="27"/>
        <v/>
      </c>
      <c r="G102" s="154" t="str">
        <f>IF(C102="","",IF(SUM(C103:C$134)=0,C102-C$7+C$8+G$10+H102+R102,C102+H102+R102))</f>
        <v/>
      </c>
      <c r="H102" s="154"/>
      <c r="I102" s="155" t="str">
        <f t="shared" si="20"/>
        <v/>
      </c>
      <c r="J102" s="155" t="str">
        <f t="shared" si="21"/>
        <v/>
      </c>
      <c r="K102" s="155" t="str">
        <f>IF(M102="","",IF(B103="",SUM($J$13:$J102),SUM($J$13:$J102,$J103*(M102-A102)/(A103-A102))))</f>
        <v/>
      </c>
      <c r="L102" s="155" t="str">
        <f>IF(M102="","",IF(B103="",SUM($D$13:$D102,$R$12:$R102,$G$5:$G$10,$C$9,-$C$10),SUM($D$13:$D102,$R$12:$R102,$G$5:$G$10,$D103*(M102-A102)/(A103-A102),$C$9,-$C$10)))</f>
        <v/>
      </c>
      <c r="M102" s="157" t="str">
        <f t="shared" si="22"/>
        <v/>
      </c>
      <c r="N102" s="158" t="str">
        <f t="shared" si="17"/>
        <v/>
      </c>
      <c r="O102" s="164" t="str">
        <f t="shared" si="28"/>
        <v/>
      </c>
      <c r="P102" s="166" t="str">
        <f t="shared" si="29"/>
        <v/>
      </c>
      <c r="R102" s="154"/>
      <c r="S102" s="150" t="str">
        <f t="shared" si="18"/>
        <v/>
      </c>
      <c r="T102" s="151" t="str">
        <f t="shared" si="19"/>
        <v/>
      </c>
    </row>
    <row r="103" spans="1:20">
      <c r="A103" s="160" t="str">
        <f t="shared" si="23"/>
        <v/>
      </c>
      <c r="B103" s="161" t="str">
        <f>IF($E$5*$E$7&lt;91,"",91)</f>
        <v/>
      </c>
      <c r="C103" s="162" t="str">
        <f t="shared" si="24"/>
        <v/>
      </c>
      <c r="D103" s="162" t="str">
        <f t="shared" si="25"/>
        <v/>
      </c>
      <c r="E103" s="162" t="str">
        <f t="shared" si="26"/>
        <v/>
      </c>
      <c r="F103" s="163" t="str">
        <f t="shared" si="27"/>
        <v/>
      </c>
      <c r="G103" s="154" t="str">
        <f>IF(C103="","",IF(SUM(C104:C$134)=0,C103-C$7+C$8+G$10+H103+R103,C103+H103+R103))</f>
        <v/>
      </c>
      <c r="H103" s="154"/>
      <c r="I103" s="155" t="str">
        <f t="shared" si="20"/>
        <v/>
      </c>
      <c r="J103" s="155" t="str">
        <f t="shared" si="21"/>
        <v/>
      </c>
      <c r="K103" s="155" t="str">
        <f>IF(M103="","",IF(B104="",SUM($J$13:$J103),SUM($J$13:$J103,$J104*(M103-A103)/(A104-A103))))</f>
        <v/>
      </c>
      <c r="L103" s="155" t="str">
        <f>IF(M103="","",IF(B104="",SUM($D$13:$D103,$R$12:$R103,$G$5:$G$10,$C$9,-$C$10),SUM($D$13:$D103,$R$12:$R103,$G$5:$G$10,$D104*(M103-A103)/(A104-A103),$C$9,-$C$10)))</f>
        <v/>
      </c>
      <c r="M103" s="157" t="str">
        <f t="shared" si="22"/>
        <v/>
      </c>
      <c r="N103" s="158" t="str">
        <f t="shared" si="17"/>
        <v/>
      </c>
      <c r="O103" s="164" t="str">
        <f t="shared" si="28"/>
        <v/>
      </c>
      <c r="P103" s="166" t="str">
        <f t="shared" si="29"/>
        <v/>
      </c>
      <c r="R103" s="154"/>
      <c r="S103" s="150" t="str">
        <f t="shared" si="18"/>
        <v/>
      </c>
      <c r="T103" s="151" t="str">
        <f t="shared" si="19"/>
        <v/>
      </c>
    </row>
    <row r="104" spans="1:20">
      <c r="A104" s="160" t="str">
        <f t="shared" si="23"/>
        <v/>
      </c>
      <c r="B104" s="161" t="str">
        <f>IF($E$5*$E$7&lt;92,"",92)</f>
        <v/>
      </c>
      <c r="C104" s="162" t="str">
        <f t="shared" si="24"/>
        <v/>
      </c>
      <c r="D104" s="162" t="str">
        <f t="shared" si="25"/>
        <v/>
      </c>
      <c r="E104" s="162" t="str">
        <f t="shared" si="26"/>
        <v/>
      </c>
      <c r="F104" s="163" t="str">
        <f t="shared" si="27"/>
        <v/>
      </c>
      <c r="G104" s="154" t="str">
        <f>IF(C104="","",IF(SUM(C105:C$134)=0,C104-C$7+C$8+G$10+H104+R104,C104+H104+R104))</f>
        <v/>
      </c>
      <c r="H104" s="154"/>
      <c r="I104" s="155" t="str">
        <f t="shared" si="20"/>
        <v/>
      </c>
      <c r="J104" s="155" t="str">
        <f t="shared" si="21"/>
        <v/>
      </c>
      <c r="K104" s="155" t="str">
        <f>IF(M104="","",IF(B105="",SUM($J$13:$J104),SUM($J$13:$J104,$J105*(M104-A104)/(A105-A104))))</f>
        <v/>
      </c>
      <c r="L104" s="155" t="str">
        <f>IF(M104="","",IF(B105="",SUM($D$13:$D104,$R$12:$R104,$G$5:$G$10,$C$9,-$C$10),SUM($D$13:$D104,$R$12:$R104,$G$5:$G$10,$D105*(M104-A104)/(A105-A104),$C$9,-$C$10)))</f>
        <v/>
      </c>
      <c r="M104" s="157" t="str">
        <f t="shared" si="22"/>
        <v/>
      </c>
      <c r="N104" s="158" t="str">
        <f t="shared" si="17"/>
        <v/>
      </c>
      <c r="O104" s="164" t="str">
        <f t="shared" si="28"/>
        <v/>
      </c>
      <c r="P104" s="166" t="str">
        <f t="shared" si="29"/>
        <v/>
      </c>
      <c r="R104" s="154"/>
      <c r="S104" s="150" t="str">
        <f t="shared" si="18"/>
        <v/>
      </c>
      <c r="T104" s="151" t="str">
        <f t="shared" si="19"/>
        <v/>
      </c>
    </row>
    <row r="105" spans="1:20">
      <c r="A105" s="160" t="str">
        <f t="shared" si="23"/>
        <v/>
      </c>
      <c r="B105" s="161" t="str">
        <f>IF($E$5*$E$7&lt;93,"",93)</f>
        <v/>
      </c>
      <c r="C105" s="162" t="str">
        <f t="shared" si="24"/>
        <v/>
      </c>
      <c r="D105" s="162" t="str">
        <f t="shared" si="25"/>
        <v/>
      </c>
      <c r="E105" s="162" t="str">
        <f t="shared" si="26"/>
        <v/>
      </c>
      <c r="F105" s="163" t="str">
        <f t="shared" si="27"/>
        <v/>
      </c>
      <c r="G105" s="154" t="str">
        <f>IF(C105="","",IF(SUM(C106:C$134)=0,C105-C$7+C$8+G$10+H105+R105,C105+H105+R105))</f>
        <v/>
      </c>
      <c r="H105" s="154"/>
      <c r="I105" s="155" t="str">
        <f t="shared" si="20"/>
        <v/>
      </c>
      <c r="J105" s="155" t="str">
        <f t="shared" si="21"/>
        <v/>
      </c>
      <c r="K105" s="155" t="str">
        <f>IF(M105="","",IF(B106="",SUM($J$13:$J105),SUM($J$13:$J105,$J106*(M105-A105)/(A106-A105))))</f>
        <v/>
      </c>
      <c r="L105" s="155" t="str">
        <f>IF(M105="","",IF(B106="",SUM($D$13:$D105,$R$12:$R105,$G$5:$G$10,$C$9,-$C$10),SUM($D$13:$D105,$R$12:$R105,$G$5:$G$10,$D106*(M105-A105)/(A106-A105),$C$9,-$C$10)))</f>
        <v/>
      </c>
      <c r="M105" s="157" t="str">
        <f t="shared" si="22"/>
        <v/>
      </c>
      <c r="N105" s="158" t="str">
        <f t="shared" si="17"/>
        <v/>
      </c>
      <c r="O105" s="164" t="str">
        <f t="shared" si="28"/>
        <v/>
      </c>
      <c r="P105" s="166" t="str">
        <f t="shared" si="29"/>
        <v/>
      </c>
      <c r="R105" s="154"/>
      <c r="S105" s="150" t="str">
        <f t="shared" si="18"/>
        <v/>
      </c>
      <c r="T105" s="151" t="str">
        <f t="shared" si="19"/>
        <v/>
      </c>
    </row>
    <row r="106" spans="1:20">
      <c r="A106" s="160" t="str">
        <f t="shared" si="23"/>
        <v/>
      </c>
      <c r="B106" s="161" t="str">
        <f>IF($E$5*$E$7&lt;94,"",94)</f>
        <v/>
      </c>
      <c r="C106" s="162" t="str">
        <f t="shared" si="24"/>
        <v/>
      </c>
      <c r="D106" s="162" t="str">
        <f t="shared" si="25"/>
        <v/>
      </c>
      <c r="E106" s="162" t="str">
        <f t="shared" si="26"/>
        <v/>
      </c>
      <c r="F106" s="163" t="str">
        <f t="shared" si="27"/>
        <v/>
      </c>
      <c r="G106" s="154" t="str">
        <f>IF(C106="","",IF(SUM(C107:C$134)=0,C106-C$7+C$8+G$10+H106+R106,C106+H106+R106))</f>
        <v/>
      </c>
      <c r="H106" s="154"/>
      <c r="I106" s="155" t="str">
        <f t="shared" si="20"/>
        <v/>
      </c>
      <c r="J106" s="155" t="str">
        <f t="shared" si="21"/>
        <v/>
      </c>
      <c r="K106" s="155" t="str">
        <f>IF(M106="","",IF(B107="",SUM($J$13:$J106),SUM($J$13:$J106,$J107*(M106-A106)/(A107-A106))))</f>
        <v/>
      </c>
      <c r="L106" s="155" t="str">
        <f>IF(M106="","",IF(B107="",SUM($D$13:$D106,$R$12:$R106,$G$5:$G$10,$C$9,-$C$10),SUM($D$13:$D106,$R$12:$R106,$G$5:$G$10,$D107*(M106-A106)/(A107-A106),$C$9,-$C$10)))</f>
        <v/>
      </c>
      <c r="M106" s="157" t="str">
        <f t="shared" si="22"/>
        <v/>
      </c>
      <c r="N106" s="158" t="str">
        <f t="shared" si="17"/>
        <v/>
      </c>
      <c r="O106" s="164" t="str">
        <f t="shared" si="28"/>
        <v/>
      </c>
      <c r="P106" s="166" t="str">
        <f t="shared" si="29"/>
        <v/>
      </c>
      <c r="R106" s="154"/>
      <c r="S106" s="150" t="str">
        <f t="shared" si="18"/>
        <v/>
      </c>
      <c r="T106" s="151" t="str">
        <f t="shared" si="19"/>
        <v/>
      </c>
    </row>
    <row r="107" spans="1:20">
      <c r="A107" s="160" t="str">
        <f t="shared" si="23"/>
        <v/>
      </c>
      <c r="B107" s="161" t="str">
        <f>IF($E$5*$E$7&lt;95,"",95)</f>
        <v/>
      </c>
      <c r="C107" s="162" t="str">
        <f t="shared" si="24"/>
        <v/>
      </c>
      <c r="D107" s="162" t="str">
        <f t="shared" si="25"/>
        <v/>
      </c>
      <c r="E107" s="162" t="str">
        <f t="shared" si="26"/>
        <v/>
      </c>
      <c r="F107" s="163" t="str">
        <f t="shared" si="27"/>
        <v/>
      </c>
      <c r="G107" s="154" t="str">
        <f>IF(C107="","",IF(SUM(C108:C$134)=0,C107-C$7+C$8+G$10+H107+R107,C107+H107+R107))</f>
        <v/>
      </c>
      <c r="H107" s="154"/>
      <c r="I107" s="155" t="str">
        <f t="shared" si="20"/>
        <v/>
      </c>
      <c r="J107" s="155" t="str">
        <f t="shared" si="21"/>
        <v/>
      </c>
      <c r="K107" s="155" t="str">
        <f>IF(M107="","",IF(B108="",SUM($J$13:$J107),SUM($J$13:$J107,$J108*(M107-A107)/(A108-A107))))</f>
        <v/>
      </c>
      <c r="L107" s="155" t="str">
        <f>IF(M107="","",IF(B108="",SUM($D$13:$D107,$R$12:$R107,$G$5:$G$10,$C$9,-$C$10),SUM($D$13:$D107,$R$12:$R107,$G$5:$G$10,$D108*(M107-A107)/(A108-A107),$C$9,-$C$10)))</f>
        <v/>
      </c>
      <c r="M107" s="157" t="str">
        <f t="shared" si="22"/>
        <v/>
      </c>
      <c r="N107" s="158" t="str">
        <f t="shared" si="17"/>
        <v/>
      </c>
      <c r="O107" s="164" t="str">
        <f t="shared" si="28"/>
        <v/>
      </c>
      <c r="P107" s="166" t="str">
        <f t="shared" si="29"/>
        <v/>
      </c>
      <c r="R107" s="154"/>
      <c r="S107" s="150" t="str">
        <f t="shared" si="18"/>
        <v/>
      </c>
      <c r="T107" s="151" t="str">
        <f t="shared" si="19"/>
        <v/>
      </c>
    </row>
    <row r="108" spans="1:20">
      <c r="A108" s="160" t="str">
        <f t="shared" si="23"/>
        <v/>
      </c>
      <c r="B108" s="161" t="str">
        <f>IF($E$5*$E$7&lt;96,"",96)</f>
        <v/>
      </c>
      <c r="C108" s="162" t="str">
        <f t="shared" si="24"/>
        <v/>
      </c>
      <c r="D108" s="162" t="str">
        <f t="shared" si="25"/>
        <v/>
      </c>
      <c r="E108" s="162" t="str">
        <f t="shared" si="26"/>
        <v/>
      </c>
      <c r="F108" s="163" t="str">
        <f t="shared" si="27"/>
        <v/>
      </c>
      <c r="G108" s="154" t="str">
        <f>IF(C108="","",IF(SUM(C109:C$134)=0,C108-C$7+C$8+G$10+H108+R108,C108+H108+R108))</f>
        <v/>
      </c>
      <c r="H108" s="154"/>
      <c r="I108" s="155" t="str">
        <f t="shared" si="20"/>
        <v/>
      </c>
      <c r="J108" s="155" t="str">
        <f t="shared" si="21"/>
        <v/>
      </c>
      <c r="K108" s="155" t="str">
        <f>IF(M108="","",IF(B109="",SUM($J$13:$J108),SUM($J$13:$J108,$J109*(M108-A108)/(A109-A108))))</f>
        <v/>
      </c>
      <c r="L108" s="155" t="str">
        <f>IF(M108="","",IF(B109="",SUM($D$13:$D108,$R$12:$R108,$G$5:$G$10,$C$9,-$C$10),SUM($D$13:$D108,$R$12:$R108,$G$5:$G$10,$D109*(M108-A108)/(A109-A108),$C$9,-$C$10)))</f>
        <v/>
      </c>
      <c r="M108" s="157" t="str">
        <f t="shared" si="22"/>
        <v/>
      </c>
      <c r="N108" s="158" t="str">
        <f t="shared" si="17"/>
        <v/>
      </c>
      <c r="O108" s="164" t="str">
        <f t="shared" si="28"/>
        <v/>
      </c>
      <c r="P108" s="166" t="str">
        <f t="shared" si="29"/>
        <v/>
      </c>
      <c r="R108" s="154"/>
      <c r="S108" s="150" t="str">
        <f t="shared" si="18"/>
        <v/>
      </c>
      <c r="T108" s="151" t="str">
        <f t="shared" si="19"/>
        <v/>
      </c>
    </row>
    <row r="109" spans="1:20">
      <c r="A109" s="160" t="str">
        <f t="shared" si="23"/>
        <v/>
      </c>
      <c r="B109" s="161" t="str">
        <f>IF($E$5*$E$7&lt;97,"",97)</f>
        <v/>
      </c>
      <c r="C109" s="162" t="str">
        <f t="shared" si="24"/>
        <v/>
      </c>
      <c r="D109" s="162" t="str">
        <f t="shared" si="25"/>
        <v/>
      </c>
      <c r="E109" s="162" t="str">
        <f t="shared" si="26"/>
        <v/>
      </c>
      <c r="F109" s="163" t="str">
        <f t="shared" si="27"/>
        <v/>
      </c>
      <c r="G109" s="154" t="str">
        <f>IF(C109="","",IF(SUM(C110:C$134)=0,C109-C$7+C$8+G$10+H109+R109,C109+H109+R109))</f>
        <v/>
      </c>
      <c r="H109" s="154"/>
      <c r="I109" s="155" t="str">
        <f t="shared" si="20"/>
        <v/>
      </c>
      <c r="J109" s="155" t="str">
        <f t="shared" si="21"/>
        <v/>
      </c>
      <c r="K109" s="155" t="str">
        <f>IF(M109="","",IF(B110="",SUM($J$13:$J109),SUM($J$13:$J109,$J110*(M109-A109)/(A110-A109))))</f>
        <v/>
      </c>
      <c r="L109" s="155" t="str">
        <f>IF(M109="","",IF(B110="",SUM($D$13:$D109,$R$12:$R109,$G$5:$G$10,$C$9,-$C$10),SUM($D$13:$D109,$R$12:$R109,$G$5:$G$10,$D110*(M109-A109)/(A110-A109),$C$9,-$C$10)))</f>
        <v/>
      </c>
      <c r="M109" s="157" t="str">
        <f t="shared" si="22"/>
        <v/>
      </c>
      <c r="N109" s="158" t="str">
        <f t="shared" si="17"/>
        <v/>
      </c>
      <c r="O109" s="164" t="str">
        <f t="shared" si="28"/>
        <v/>
      </c>
      <c r="P109" s="166" t="str">
        <f t="shared" si="29"/>
        <v/>
      </c>
      <c r="R109" s="154"/>
      <c r="S109" s="150" t="str">
        <f t="shared" si="18"/>
        <v/>
      </c>
      <c r="T109" s="151" t="str">
        <f t="shared" si="19"/>
        <v/>
      </c>
    </row>
    <row r="110" spans="1:20">
      <c r="A110" s="160" t="str">
        <f t="shared" si="23"/>
        <v/>
      </c>
      <c r="B110" s="161" t="str">
        <f>IF($E$5*$E$7&lt;98,"",98)</f>
        <v/>
      </c>
      <c r="C110" s="162" t="str">
        <f t="shared" si="24"/>
        <v/>
      </c>
      <c r="D110" s="162" t="str">
        <f t="shared" si="25"/>
        <v/>
      </c>
      <c r="E110" s="162" t="str">
        <f t="shared" si="26"/>
        <v/>
      </c>
      <c r="F110" s="163" t="str">
        <f t="shared" si="27"/>
        <v/>
      </c>
      <c r="G110" s="154" t="str">
        <f>IF(C110="","",IF(SUM(C111:C$134)=0,C110-C$7+C$8+G$10+H110+R110,C110+H110+R110))</f>
        <v/>
      </c>
      <c r="H110" s="154"/>
      <c r="I110" s="155" t="str">
        <f t="shared" si="20"/>
        <v/>
      </c>
      <c r="J110" s="155" t="str">
        <f t="shared" si="21"/>
        <v/>
      </c>
      <c r="K110" s="155" t="str">
        <f>IF(M110="","",IF(B111="",SUM($J$13:$J110),SUM($J$13:$J110,$J111*(M110-A110)/(A111-A110))))</f>
        <v/>
      </c>
      <c r="L110" s="155" t="str">
        <f>IF(M110="","",IF(B111="",SUM($D$13:$D110,$R$12:$R110,$G$5:$G$10,$C$9,-$C$10),SUM($D$13:$D110,$R$12:$R110,$G$5:$G$10,$D111*(M110-A110)/(A111-A110),$C$9,-$C$10)))</f>
        <v/>
      </c>
      <c r="M110" s="157" t="str">
        <f t="shared" si="22"/>
        <v/>
      </c>
      <c r="N110" s="158" t="str">
        <f t="shared" si="17"/>
        <v/>
      </c>
      <c r="O110" s="164" t="str">
        <f t="shared" si="28"/>
        <v/>
      </c>
      <c r="P110" s="166" t="str">
        <f t="shared" si="29"/>
        <v/>
      </c>
      <c r="R110" s="154"/>
      <c r="S110" s="150" t="str">
        <f t="shared" si="18"/>
        <v/>
      </c>
      <c r="T110" s="151" t="str">
        <f t="shared" si="19"/>
        <v/>
      </c>
    </row>
    <row r="111" spans="1:20">
      <c r="A111" s="160" t="str">
        <f t="shared" si="23"/>
        <v/>
      </c>
      <c r="B111" s="161" t="str">
        <f>IF($E$5*$E$7&lt;99,"",99)</f>
        <v/>
      </c>
      <c r="C111" s="162" t="str">
        <f t="shared" si="24"/>
        <v/>
      </c>
      <c r="D111" s="162" t="str">
        <f t="shared" si="25"/>
        <v/>
      </c>
      <c r="E111" s="162" t="str">
        <f t="shared" si="26"/>
        <v/>
      </c>
      <c r="F111" s="163" t="str">
        <f t="shared" si="27"/>
        <v/>
      </c>
      <c r="G111" s="154" t="str">
        <f>IF(C111="","",IF(SUM(C112:C$134)=0,C111-C$7+C$8+G$10+H111+R111,C111+H111+R111))</f>
        <v/>
      </c>
      <c r="H111" s="154"/>
      <c r="I111" s="155" t="str">
        <f t="shared" si="20"/>
        <v/>
      </c>
      <c r="J111" s="155" t="str">
        <f t="shared" si="21"/>
        <v/>
      </c>
      <c r="K111" s="155" t="str">
        <f>IF(M111="","",IF(B112="",SUM($J$13:$J111),SUM($J$13:$J111,$J112*(M111-A111)/(A112-A111))))</f>
        <v/>
      </c>
      <c r="L111" s="155" t="str">
        <f>IF(M111="","",IF(B112="",SUM($D$13:$D111,$R$12:$R111,$G$5:$G$10,$C$9,-$C$10),SUM($D$13:$D111,$R$12:$R111,$G$5:$G$10,$D112*(M111-A111)/(A112-A111),$C$9,-$C$10)))</f>
        <v/>
      </c>
      <c r="M111" s="157" t="str">
        <f t="shared" si="22"/>
        <v/>
      </c>
      <c r="N111" s="158" t="str">
        <f t="shared" si="17"/>
        <v/>
      </c>
      <c r="O111" s="164" t="str">
        <f t="shared" si="28"/>
        <v/>
      </c>
      <c r="P111" s="166" t="str">
        <f t="shared" si="29"/>
        <v/>
      </c>
      <c r="R111" s="154"/>
      <c r="S111" s="150" t="str">
        <f t="shared" si="18"/>
        <v/>
      </c>
      <c r="T111" s="151" t="str">
        <f t="shared" si="19"/>
        <v/>
      </c>
    </row>
    <row r="112" spans="1:20">
      <c r="A112" s="160" t="str">
        <f t="shared" si="23"/>
        <v/>
      </c>
      <c r="B112" s="161" t="str">
        <f>IF($E$5*$E$7&lt;100,"",100)</f>
        <v/>
      </c>
      <c r="C112" s="162" t="str">
        <f t="shared" si="24"/>
        <v/>
      </c>
      <c r="D112" s="162" t="str">
        <f t="shared" si="25"/>
        <v/>
      </c>
      <c r="E112" s="162" t="str">
        <f t="shared" si="26"/>
        <v/>
      </c>
      <c r="F112" s="163" t="str">
        <f t="shared" si="27"/>
        <v/>
      </c>
      <c r="G112" s="154" t="str">
        <f>IF(C112="","",IF(SUM(C113:C$134)=0,C112-C$7+C$8+G$10+H112+R112,C112+H112+R112))</f>
        <v/>
      </c>
      <c r="H112" s="154"/>
      <c r="I112" s="155" t="str">
        <f t="shared" si="20"/>
        <v/>
      </c>
      <c r="J112" s="155" t="str">
        <f t="shared" si="21"/>
        <v/>
      </c>
      <c r="K112" s="155" t="str">
        <f>IF(M112="","",IF(B113="",SUM($J$13:$J112),SUM($J$13:$J112,$J113*(M112-A112)/(A113-A112))))</f>
        <v/>
      </c>
      <c r="L112" s="155" t="str">
        <f>IF(M112="","",IF(B113="",SUM($D$13:$D112,$R$12:$R112,$G$5:$G$10,$C$9,-$C$10),SUM($D$13:$D112,$R$12:$R112,$G$5:$G$10,$D113*(M112-A112)/(A113-A112),$C$9,-$C$10)))</f>
        <v/>
      </c>
      <c r="M112" s="157" t="str">
        <f t="shared" si="22"/>
        <v/>
      </c>
      <c r="N112" s="158" t="str">
        <f t="shared" si="17"/>
        <v/>
      </c>
      <c r="O112" s="164" t="str">
        <f t="shared" si="28"/>
        <v/>
      </c>
      <c r="P112" s="166" t="str">
        <f t="shared" si="29"/>
        <v/>
      </c>
      <c r="R112" s="154"/>
      <c r="S112" s="150" t="str">
        <f t="shared" si="18"/>
        <v/>
      </c>
      <c r="T112" s="151" t="str">
        <f t="shared" si="19"/>
        <v/>
      </c>
    </row>
    <row r="113" spans="1:20">
      <c r="A113" s="160" t="str">
        <f t="shared" si="23"/>
        <v/>
      </c>
      <c r="B113" s="161" t="str">
        <f>IF($E$5*$E$7&lt;101,"",101)</f>
        <v/>
      </c>
      <c r="C113" s="162" t="str">
        <f t="shared" si="24"/>
        <v/>
      </c>
      <c r="D113" s="162" t="str">
        <f t="shared" si="25"/>
        <v/>
      </c>
      <c r="E113" s="162" t="str">
        <f t="shared" si="26"/>
        <v/>
      </c>
      <c r="F113" s="163" t="str">
        <f t="shared" si="27"/>
        <v/>
      </c>
      <c r="G113" s="154" t="str">
        <f>IF(C113="","",IF(SUM(C114:C$134)=0,C113-C$7+C$8+G$10+H113+R113,C113+H113+R113))</f>
        <v/>
      </c>
      <c r="H113" s="154"/>
      <c r="I113" s="155" t="str">
        <f t="shared" si="20"/>
        <v/>
      </c>
      <c r="J113" s="155" t="str">
        <f t="shared" si="21"/>
        <v/>
      </c>
      <c r="K113" s="155" t="str">
        <f>IF(M113="","",IF(B114="",SUM($J$13:$J113),SUM($J$13:$J113,$J114*(M113-A113)/(A114-A113))))</f>
        <v/>
      </c>
      <c r="L113" s="155" t="str">
        <f>IF(M113="","",IF(B114="",SUM($D$13:$D113,$R$12:$R113,$G$5:$G$10,$C$9,-$C$10),SUM($D$13:$D113,$R$12:$R113,$G$5:$G$10,$D114*(M113-A113)/(A114-A113),$C$9,-$C$10)))</f>
        <v/>
      </c>
      <c r="M113" s="157" t="str">
        <f t="shared" si="22"/>
        <v/>
      </c>
      <c r="N113" s="158" t="str">
        <f t="shared" si="17"/>
        <v/>
      </c>
      <c r="O113" s="164" t="str">
        <f t="shared" si="28"/>
        <v/>
      </c>
      <c r="P113" s="166" t="str">
        <f t="shared" si="29"/>
        <v/>
      </c>
      <c r="R113" s="154"/>
      <c r="S113" s="150" t="str">
        <f t="shared" si="18"/>
        <v/>
      </c>
      <c r="T113" s="151" t="str">
        <f t="shared" si="19"/>
        <v/>
      </c>
    </row>
    <row r="114" spans="1:20">
      <c r="A114" s="160" t="str">
        <f t="shared" si="23"/>
        <v/>
      </c>
      <c r="B114" s="161" t="str">
        <f>IF($E$5*$E$7&lt;102,"",102)</f>
        <v/>
      </c>
      <c r="C114" s="162" t="str">
        <f t="shared" si="24"/>
        <v/>
      </c>
      <c r="D114" s="162" t="str">
        <f t="shared" si="25"/>
        <v/>
      </c>
      <c r="E114" s="162" t="str">
        <f t="shared" si="26"/>
        <v/>
      </c>
      <c r="F114" s="163" t="str">
        <f t="shared" si="27"/>
        <v/>
      </c>
      <c r="G114" s="154" t="str">
        <f>IF(C114="","",IF(SUM(C115:C$134)=0,C114-C$7+C$8+G$10+H114+R114,C114+H114+R114))</f>
        <v/>
      </c>
      <c r="H114" s="154"/>
      <c r="I114" s="155" t="str">
        <f t="shared" si="20"/>
        <v/>
      </c>
      <c r="J114" s="155" t="str">
        <f t="shared" si="21"/>
        <v/>
      </c>
      <c r="K114" s="155" t="str">
        <f>IF(M114="","",IF(B115="",SUM($J$13:$J114),SUM($J$13:$J114,$J115*(M114-A114)/(A115-A114))))</f>
        <v/>
      </c>
      <c r="L114" s="155" t="str">
        <f>IF(M114="","",IF(B115="",SUM($D$13:$D114,$R$12:$R114,$G$5:$G$10,$C$9,-$C$10),SUM($D$13:$D114,$R$12:$R114,$G$5:$G$10,$D115*(M114-A114)/(A115-A114),$C$9,-$C$10)))</f>
        <v/>
      </c>
      <c r="M114" s="157" t="str">
        <f t="shared" si="22"/>
        <v/>
      </c>
      <c r="N114" s="158" t="str">
        <f t="shared" si="17"/>
        <v/>
      </c>
      <c r="O114" s="164" t="str">
        <f t="shared" si="28"/>
        <v/>
      </c>
      <c r="P114" s="166" t="str">
        <f t="shared" si="29"/>
        <v/>
      </c>
      <c r="R114" s="154"/>
      <c r="S114" s="150" t="str">
        <f t="shared" si="18"/>
        <v/>
      </c>
      <c r="T114" s="151" t="str">
        <f t="shared" si="19"/>
        <v/>
      </c>
    </row>
    <row r="115" spans="1:20">
      <c r="A115" s="160" t="str">
        <f t="shared" si="23"/>
        <v/>
      </c>
      <c r="B115" s="161" t="str">
        <f>IF($E$5*$E$7&lt;103,"",103)</f>
        <v/>
      </c>
      <c r="C115" s="162" t="str">
        <f t="shared" si="24"/>
        <v/>
      </c>
      <c r="D115" s="162" t="str">
        <f t="shared" si="25"/>
        <v/>
      </c>
      <c r="E115" s="162" t="str">
        <f t="shared" si="26"/>
        <v/>
      </c>
      <c r="F115" s="163" t="str">
        <f t="shared" si="27"/>
        <v/>
      </c>
      <c r="G115" s="154" t="str">
        <f>IF(C115="","",IF(SUM(C116:C$134)=0,C115-C$7+C$8+G$10+H115+R115,C115+H115+R115))</f>
        <v/>
      </c>
      <c r="H115" s="154"/>
      <c r="I115" s="155" t="str">
        <f t="shared" si="20"/>
        <v/>
      </c>
      <c r="J115" s="155" t="str">
        <f t="shared" si="21"/>
        <v/>
      </c>
      <c r="K115" s="155" t="str">
        <f>IF(M115="","",IF(B116="",SUM($J$13:$J115),SUM($J$13:$J115,$J116*(M115-A115)/(A116-A115))))</f>
        <v/>
      </c>
      <c r="L115" s="155" t="str">
        <f>IF(M115="","",IF(B116="",SUM($D$13:$D115,$R$12:$R115,$G$5:$G$10,$C$9,-$C$10),SUM($D$13:$D115,$R$12:$R115,$G$5:$G$10,$D116*(M115-A115)/(A116-A115),$C$9,-$C$10)))</f>
        <v/>
      </c>
      <c r="M115" s="157" t="str">
        <f t="shared" si="22"/>
        <v/>
      </c>
      <c r="N115" s="158" t="str">
        <f t="shared" si="17"/>
        <v/>
      </c>
      <c r="O115" s="164" t="str">
        <f t="shared" si="28"/>
        <v/>
      </c>
      <c r="P115" s="166" t="str">
        <f t="shared" si="29"/>
        <v/>
      </c>
      <c r="R115" s="154"/>
      <c r="S115" s="150" t="str">
        <f t="shared" si="18"/>
        <v/>
      </c>
      <c r="T115" s="151" t="str">
        <f t="shared" si="19"/>
        <v/>
      </c>
    </row>
    <row r="116" spans="1:20">
      <c r="A116" s="160" t="str">
        <f t="shared" si="23"/>
        <v/>
      </c>
      <c r="B116" s="161" t="str">
        <f>IF($E$5*$E$7&lt;104,"",104)</f>
        <v/>
      </c>
      <c r="C116" s="162" t="str">
        <f t="shared" si="24"/>
        <v/>
      </c>
      <c r="D116" s="162" t="str">
        <f t="shared" si="25"/>
        <v/>
      </c>
      <c r="E116" s="162" t="str">
        <f t="shared" si="26"/>
        <v/>
      </c>
      <c r="F116" s="163" t="str">
        <f t="shared" si="27"/>
        <v/>
      </c>
      <c r="G116" s="154" t="str">
        <f>IF(C116="","",IF(SUM(C117:C$134)=0,C116-C$7+C$8+G$10+H116+R116,C116+H116+R116))</f>
        <v/>
      </c>
      <c r="H116" s="154"/>
      <c r="I116" s="155" t="str">
        <f t="shared" si="20"/>
        <v/>
      </c>
      <c r="J116" s="155" t="str">
        <f t="shared" si="21"/>
        <v/>
      </c>
      <c r="K116" s="155" t="str">
        <f>IF(M116="","",IF(B117="",SUM($J$13:$J116),SUM($J$13:$J116,$J117*(M116-A116)/(A117-A116))))</f>
        <v/>
      </c>
      <c r="L116" s="155" t="str">
        <f>IF(M116="","",IF(B117="",SUM($D$13:$D116,$R$12:$R116,$G$5:$G$10,$C$9,-$C$10),SUM($D$13:$D116,$R$12:$R116,$G$5:$G$10,$D117*(M116-A116)/(A117-A116),$C$9,-$C$10)))</f>
        <v/>
      </c>
      <c r="M116" s="157" t="str">
        <f t="shared" si="22"/>
        <v/>
      </c>
      <c r="N116" s="158" t="str">
        <f t="shared" si="17"/>
        <v/>
      </c>
      <c r="O116" s="164" t="str">
        <f t="shared" si="28"/>
        <v/>
      </c>
      <c r="P116" s="166" t="str">
        <f t="shared" si="29"/>
        <v/>
      </c>
      <c r="R116" s="154"/>
      <c r="S116" s="150" t="str">
        <f t="shared" si="18"/>
        <v/>
      </c>
      <c r="T116" s="151" t="str">
        <f t="shared" si="19"/>
        <v/>
      </c>
    </row>
    <row r="117" spans="1:20">
      <c r="A117" s="160" t="str">
        <f t="shared" si="23"/>
        <v/>
      </c>
      <c r="B117" s="161" t="str">
        <f>IF($E$5*$E$7&lt;105,"",105)</f>
        <v/>
      </c>
      <c r="C117" s="162" t="str">
        <f t="shared" si="24"/>
        <v/>
      </c>
      <c r="D117" s="162" t="str">
        <f t="shared" si="25"/>
        <v/>
      </c>
      <c r="E117" s="162" t="str">
        <f t="shared" si="26"/>
        <v/>
      </c>
      <c r="F117" s="163" t="str">
        <f t="shared" si="27"/>
        <v/>
      </c>
      <c r="G117" s="154" t="str">
        <f>IF(C117="","",IF(SUM(C118:C$134)=0,C117-C$7+C$8+G$10+H117+R117,C117+H117+R117))</f>
        <v/>
      </c>
      <c r="H117" s="154"/>
      <c r="I117" s="155" t="str">
        <f t="shared" si="20"/>
        <v/>
      </c>
      <c r="J117" s="155" t="str">
        <f t="shared" si="21"/>
        <v/>
      </c>
      <c r="K117" s="155" t="str">
        <f>IF(M117="","",IF(B118="",SUM($J$13:$J117),SUM($J$13:$J117,$J118*(M117-A117)/(A118-A117))))</f>
        <v/>
      </c>
      <c r="L117" s="155" t="str">
        <f>IF(M117="","",IF(B118="",SUM($D$13:$D117,$R$12:$R117,$G$5:$G$10,$C$9,-$C$10),SUM($D$13:$D117,$R$12:$R117,$G$5:$G$10,$D118*(M117-A117)/(A118-A117),$C$9,-$C$10)))</f>
        <v/>
      </c>
      <c r="M117" s="157" t="str">
        <f t="shared" si="22"/>
        <v/>
      </c>
      <c r="N117" s="158" t="str">
        <f t="shared" si="17"/>
        <v/>
      </c>
      <c r="O117" s="164" t="str">
        <f t="shared" si="28"/>
        <v/>
      </c>
      <c r="P117" s="166" t="str">
        <f t="shared" si="29"/>
        <v/>
      </c>
      <c r="R117" s="154"/>
      <c r="S117" s="150" t="str">
        <f t="shared" si="18"/>
        <v/>
      </c>
      <c r="T117" s="151" t="str">
        <f t="shared" si="19"/>
        <v/>
      </c>
    </row>
    <row r="118" spans="1:20">
      <c r="A118" s="160" t="str">
        <f t="shared" si="23"/>
        <v/>
      </c>
      <c r="B118" s="161" t="str">
        <f>IF($E$5*$E$7&lt;106,"",106)</f>
        <v/>
      </c>
      <c r="C118" s="162" t="str">
        <f t="shared" si="24"/>
        <v/>
      </c>
      <c r="D118" s="162" t="str">
        <f t="shared" si="25"/>
        <v/>
      </c>
      <c r="E118" s="162" t="str">
        <f t="shared" si="26"/>
        <v/>
      </c>
      <c r="F118" s="163" t="str">
        <f t="shared" si="27"/>
        <v/>
      </c>
      <c r="G118" s="154" t="str">
        <f>IF(C118="","",IF(SUM(C119:C$134)=0,C118-C$7+C$8+G$10+H118+R118,C118+H118+R118))</f>
        <v/>
      </c>
      <c r="H118" s="154"/>
      <c r="I118" s="155" t="str">
        <f t="shared" si="20"/>
        <v/>
      </c>
      <c r="J118" s="155" t="str">
        <f t="shared" si="21"/>
        <v/>
      </c>
      <c r="K118" s="155" t="str">
        <f>IF(M118="","",IF(B119="",SUM($J$13:$J118),SUM($J$13:$J118,$J119*(M118-A118)/(A119-A118))))</f>
        <v/>
      </c>
      <c r="L118" s="155" t="str">
        <f>IF(M118="","",IF(B119="",SUM($D$13:$D118,$R$12:$R118,$G$5:$G$10,$C$9,-$C$10),SUM($D$13:$D118,$R$12:$R118,$G$5:$G$10,$D119*(M118-A118)/(A119-A118),$C$9,-$C$10)))</f>
        <v/>
      </c>
      <c r="M118" s="157" t="str">
        <f t="shared" si="22"/>
        <v/>
      </c>
      <c r="N118" s="158" t="str">
        <f t="shared" si="17"/>
        <v/>
      </c>
      <c r="O118" s="164" t="str">
        <f t="shared" si="28"/>
        <v/>
      </c>
      <c r="P118" s="166" t="str">
        <f t="shared" si="29"/>
        <v/>
      </c>
      <c r="R118" s="154"/>
      <c r="S118" s="150" t="str">
        <f t="shared" si="18"/>
        <v/>
      </c>
      <c r="T118" s="151" t="str">
        <f t="shared" si="19"/>
        <v/>
      </c>
    </row>
    <row r="119" spans="1:20">
      <c r="A119" s="160" t="str">
        <f t="shared" si="23"/>
        <v/>
      </c>
      <c r="B119" s="161" t="str">
        <f>IF($E$5*$E$7&lt;107,"",107)</f>
        <v/>
      </c>
      <c r="C119" s="162" t="str">
        <f t="shared" si="24"/>
        <v/>
      </c>
      <c r="D119" s="162" t="str">
        <f t="shared" si="25"/>
        <v/>
      </c>
      <c r="E119" s="162" t="str">
        <f t="shared" si="26"/>
        <v/>
      </c>
      <c r="F119" s="163" t="str">
        <f t="shared" si="27"/>
        <v/>
      </c>
      <c r="G119" s="154" t="str">
        <f>IF(C119="","",IF(SUM(C120:C$134)=0,C119-C$7+C$8+G$10+H119+R119,C119+H119+R119))</f>
        <v/>
      </c>
      <c r="H119" s="154"/>
      <c r="I119" s="155" t="str">
        <f t="shared" si="20"/>
        <v/>
      </c>
      <c r="J119" s="155" t="str">
        <f t="shared" si="21"/>
        <v/>
      </c>
      <c r="K119" s="155" t="str">
        <f>IF(M119="","",IF(B120="",SUM($J$13:$J119),SUM($J$13:$J119,$J120*(M119-A119)/(A120-A119))))</f>
        <v/>
      </c>
      <c r="L119" s="155" t="str">
        <f>IF(M119="","",IF(B120="",SUM($D$13:$D119,$R$12:$R119,$G$5:$G$10,$C$9,-$C$10),SUM($D$13:$D119,$R$12:$R119,$G$5:$G$10,$D120*(M119-A119)/(A120-A119),$C$9,-$C$10)))</f>
        <v/>
      </c>
      <c r="M119" s="157" t="str">
        <f t="shared" si="22"/>
        <v/>
      </c>
      <c r="N119" s="158" t="str">
        <f t="shared" si="17"/>
        <v/>
      </c>
      <c r="O119" s="164" t="str">
        <f t="shared" si="28"/>
        <v/>
      </c>
      <c r="P119" s="166" t="str">
        <f t="shared" si="29"/>
        <v/>
      </c>
      <c r="R119" s="154"/>
      <c r="S119" s="150" t="str">
        <f t="shared" si="18"/>
        <v/>
      </c>
      <c r="T119" s="151" t="str">
        <f t="shared" si="19"/>
        <v/>
      </c>
    </row>
    <row r="120" spans="1:20">
      <c r="A120" s="160" t="str">
        <f t="shared" si="23"/>
        <v/>
      </c>
      <c r="B120" s="161" t="str">
        <f>IF($E$5*$E$7&lt;108,"",108)</f>
        <v/>
      </c>
      <c r="C120" s="162" t="str">
        <f t="shared" si="24"/>
        <v/>
      </c>
      <c r="D120" s="162" t="str">
        <f t="shared" si="25"/>
        <v/>
      </c>
      <c r="E120" s="162" t="str">
        <f t="shared" si="26"/>
        <v/>
      </c>
      <c r="F120" s="163" t="str">
        <f t="shared" si="27"/>
        <v/>
      </c>
      <c r="G120" s="154" t="str">
        <f>IF(C120="","",IF(SUM(C121:C$134)=0,C120-C$7+C$8+G$10+H120+R120,C120+H120+R120))</f>
        <v/>
      </c>
      <c r="H120" s="154"/>
      <c r="I120" s="155" t="str">
        <f t="shared" si="20"/>
        <v/>
      </c>
      <c r="J120" s="155" t="str">
        <f t="shared" si="21"/>
        <v/>
      </c>
      <c r="K120" s="155" t="str">
        <f>IF(M120="","",IF(B121="",SUM($J$13:$J120),SUM($J$13:$J120,$J121*(M120-A120)/(A121-A120))))</f>
        <v/>
      </c>
      <c r="L120" s="155" t="str">
        <f>IF(M120="","",IF(B121="",SUM($D$13:$D120,$R$12:$R120,$G$5:$G$10,$C$9,-$C$10),SUM($D$13:$D120,$R$12:$R120,$G$5:$G$10,$D121*(M120-A120)/(A121-A120),$C$9,-$C$10)))</f>
        <v/>
      </c>
      <c r="M120" s="157" t="str">
        <f t="shared" si="22"/>
        <v/>
      </c>
      <c r="N120" s="158" t="str">
        <f t="shared" si="17"/>
        <v/>
      </c>
      <c r="O120" s="164" t="str">
        <f t="shared" si="28"/>
        <v/>
      </c>
      <c r="P120" s="166" t="str">
        <f t="shared" si="29"/>
        <v/>
      </c>
      <c r="R120" s="154"/>
      <c r="S120" s="150" t="str">
        <f t="shared" si="18"/>
        <v/>
      </c>
      <c r="T120" s="151" t="str">
        <f t="shared" si="19"/>
        <v/>
      </c>
    </row>
    <row r="121" spans="1:20">
      <c r="A121" s="160" t="str">
        <f t="shared" si="23"/>
        <v/>
      </c>
      <c r="B121" s="161" t="str">
        <f>IF($E$5*$E$7&lt;109,"",109)</f>
        <v/>
      </c>
      <c r="C121" s="162" t="str">
        <f t="shared" si="24"/>
        <v/>
      </c>
      <c r="D121" s="162" t="str">
        <f t="shared" si="25"/>
        <v/>
      </c>
      <c r="E121" s="162" t="str">
        <f t="shared" si="26"/>
        <v/>
      </c>
      <c r="F121" s="163" t="str">
        <f t="shared" si="27"/>
        <v/>
      </c>
      <c r="G121" s="154" t="str">
        <f>IF(C121="","",IF(SUM(C122:C$134)=0,C121-C$7+C$8+G$10+H121+R121,C121+H121+R121))</f>
        <v/>
      </c>
      <c r="H121" s="154"/>
      <c r="I121" s="155" t="str">
        <f t="shared" si="20"/>
        <v/>
      </c>
      <c r="J121" s="155" t="str">
        <f t="shared" si="21"/>
        <v/>
      </c>
      <c r="K121" s="155" t="str">
        <f>IF(M121="","",IF(B122="",SUM($J$13:$J121),SUM($J$13:$J121,$J122*(M121-A121)/(A122-A121))))</f>
        <v/>
      </c>
      <c r="L121" s="155" t="str">
        <f>IF(M121="","",IF(B122="",SUM($D$13:$D121,$R$12:$R121,$G$5:$G$10,$C$9,-$C$10),SUM($D$13:$D121,$R$12:$R121,$G$5:$G$10,$D122*(M121-A121)/(A122-A121),$C$9,-$C$10)))</f>
        <v/>
      </c>
      <c r="M121" s="157" t="str">
        <f t="shared" si="22"/>
        <v/>
      </c>
      <c r="N121" s="158" t="str">
        <f t="shared" si="17"/>
        <v/>
      </c>
      <c r="O121" s="164" t="str">
        <f t="shared" si="28"/>
        <v/>
      </c>
      <c r="P121" s="166" t="str">
        <f t="shared" si="29"/>
        <v/>
      </c>
      <c r="R121" s="154"/>
      <c r="S121" s="150" t="str">
        <f t="shared" si="18"/>
        <v/>
      </c>
      <c r="T121" s="151" t="str">
        <f t="shared" si="19"/>
        <v/>
      </c>
    </row>
    <row r="122" spans="1:20">
      <c r="A122" s="160" t="str">
        <f t="shared" si="23"/>
        <v/>
      </c>
      <c r="B122" s="161" t="str">
        <f>IF($E$5*$E$7&lt;110,"",110)</f>
        <v/>
      </c>
      <c r="C122" s="162" t="str">
        <f t="shared" si="24"/>
        <v/>
      </c>
      <c r="D122" s="162" t="str">
        <f t="shared" si="25"/>
        <v/>
      </c>
      <c r="E122" s="162" t="str">
        <f t="shared" si="26"/>
        <v/>
      </c>
      <c r="F122" s="163" t="str">
        <f t="shared" si="27"/>
        <v/>
      </c>
      <c r="G122" s="154" t="str">
        <f>IF(C122="","",IF(SUM(C123:C$134)=0,C122-C$7+C$8+G$10+H122+R122,C122+H122+R122))</f>
        <v/>
      </c>
      <c r="H122" s="154"/>
      <c r="I122" s="155" t="str">
        <f t="shared" si="20"/>
        <v/>
      </c>
      <c r="J122" s="155" t="str">
        <f t="shared" si="21"/>
        <v/>
      </c>
      <c r="K122" s="155" t="str">
        <f>IF(M122="","",IF(B123="",SUM($J$13:$J122),SUM($J$13:$J122,$J123*(M122-A122)/(A123-A122))))</f>
        <v/>
      </c>
      <c r="L122" s="155" t="str">
        <f>IF(M122="","",IF(B123="",SUM($D$13:$D122,$R$12:$R122,$G$5:$G$10,$C$9,-$C$10),SUM($D$13:$D122,$R$12:$R122,$G$5:$G$10,$D123*(M122-A122)/(A123-A122),$C$9,-$C$10)))</f>
        <v/>
      </c>
      <c r="M122" s="157" t="str">
        <f t="shared" si="22"/>
        <v/>
      </c>
      <c r="N122" s="158" t="str">
        <f t="shared" si="17"/>
        <v/>
      </c>
      <c r="O122" s="164" t="str">
        <f t="shared" si="28"/>
        <v/>
      </c>
      <c r="P122" s="166" t="str">
        <f t="shared" si="29"/>
        <v/>
      </c>
      <c r="R122" s="154"/>
      <c r="S122" s="150" t="str">
        <f t="shared" si="18"/>
        <v/>
      </c>
      <c r="T122" s="151" t="str">
        <f t="shared" si="19"/>
        <v/>
      </c>
    </row>
    <row r="123" spans="1:20">
      <c r="A123" s="160" t="str">
        <f t="shared" si="23"/>
        <v/>
      </c>
      <c r="B123" s="161" t="str">
        <f>IF($E$5*$E$7&lt;111,"",111)</f>
        <v/>
      </c>
      <c r="C123" s="162" t="str">
        <f t="shared" si="24"/>
        <v/>
      </c>
      <c r="D123" s="162" t="str">
        <f t="shared" si="25"/>
        <v/>
      </c>
      <c r="E123" s="162" t="str">
        <f t="shared" si="26"/>
        <v/>
      </c>
      <c r="F123" s="163" t="str">
        <f t="shared" si="27"/>
        <v/>
      </c>
      <c r="G123" s="154" t="str">
        <f>IF(C123="","",IF(SUM(C124:C$134)=0,C123-C$7+C$8+G$10+H123+R123,C123+H123+R123))</f>
        <v/>
      </c>
      <c r="H123" s="154"/>
      <c r="I123" s="155" t="str">
        <f t="shared" si="20"/>
        <v/>
      </c>
      <c r="J123" s="155" t="str">
        <f t="shared" si="21"/>
        <v/>
      </c>
      <c r="K123" s="155" t="str">
        <f>IF(M123="","",IF(B124="",SUM($J$13:$J123),SUM($J$13:$J123,$J124*(M123-A123)/(A124-A123))))</f>
        <v/>
      </c>
      <c r="L123" s="155" t="str">
        <f>IF(M123="","",IF(B124="",SUM($D$13:$D123,$R$12:$R123,$G$5:$G$10,$C$9,-$C$10),SUM($D$13:$D123,$R$12:$R123,$G$5:$G$10,$D124*(M123-A123)/(A124-A123),$C$9,-$C$10)))</f>
        <v/>
      </c>
      <c r="M123" s="157" t="str">
        <f t="shared" si="22"/>
        <v/>
      </c>
      <c r="N123" s="158" t="str">
        <f t="shared" si="17"/>
        <v/>
      </c>
      <c r="O123" s="164" t="str">
        <f t="shared" si="28"/>
        <v/>
      </c>
      <c r="P123" s="166" t="str">
        <f t="shared" si="29"/>
        <v/>
      </c>
      <c r="R123" s="154"/>
      <c r="S123" s="150" t="str">
        <f t="shared" si="18"/>
        <v/>
      </c>
      <c r="T123" s="151" t="str">
        <f t="shared" si="19"/>
        <v/>
      </c>
    </row>
    <row r="124" spans="1:20">
      <c r="A124" s="160" t="str">
        <f t="shared" si="23"/>
        <v/>
      </c>
      <c r="B124" s="161" t="str">
        <f>IF($E$5*$E$7&lt;112,"",112)</f>
        <v/>
      </c>
      <c r="C124" s="162" t="str">
        <f t="shared" si="24"/>
        <v/>
      </c>
      <c r="D124" s="162" t="str">
        <f t="shared" si="25"/>
        <v/>
      </c>
      <c r="E124" s="162" t="str">
        <f t="shared" si="26"/>
        <v/>
      </c>
      <c r="F124" s="163" t="str">
        <f t="shared" si="27"/>
        <v/>
      </c>
      <c r="G124" s="154" t="str">
        <f>IF(C124="","",IF(SUM(C125:C$134)=0,C124-C$7+C$8+G$10+H124+R124,C124+H124+R124))</f>
        <v/>
      </c>
      <c r="H124" s="154"/>
      <c r="I124" s="155" t="str">
        <f t="shared" si="20"/>
        <v/>
      </c>
      <c r="J124" s="155" t="str">
        <f t="shared" si="21"/>
        <v/>
      </c>
      <c r="K124" s="155" t="str">
        <f>IF(M124="","",IF(B125="",SUM($J$13:$J124),SUM($J$13:$J124,$J125*(M124-A124)/(A125-A124))))</f>
        <v/>
      </c>
      <c r="L124" s="155" t="str">
        <f>IF(M124="","",IF(B125="",SUM($D$13:$D124,$R$12:$R124,$G$5:$G$10,$C$9,-$C$10),SUM($D$13:$D124,$R$12:$R124,$G$5:$G$10,$D125*(M124-A124)/(A125-A124),$C$9,-$C$10)))</f>
        <v/>
      </c>
      <c r="M124" s="157" t="str">
        <f t="shared" si="22"/>
        <v/>
      </c>
      <c r="N124" s="158" t="str">
        <f t="shared" si="17"/>
        <v/>
      </c>
      <c r="O124" s="164" t="str">
        <f t="shared" si="28"/>
        <v/>
      </c>
      <c r="P124" s="166" t="str">
        <f t="shared" si="29"/>
        <v/>
      </c>
      <c r="R124" s="154"/>
      <c r="S124" s="150" t="str">
        <f t="shared" si="18"/>
        <v/>
      </c>
      <c r="T124" s="151" t="str">
        <f t="shared" si="19"/>
        <v/>
      </c>
    </row>
    <row r="125" spans="1:20">
      <c r="A125" s="160" t="str">
        <f t="shared" si="23"/>
        <v/>
      </c>
      <c r="B125" s="161" t="str">
        <f>IF($E$5*$E$7&lt;113,"",113)</f>
        <v/>
      </c>
      <c r="C125" s="162" t="str">
        <f t="shared" si="24"/>
        <v/>
      </c>
      <c r="D125" s="162" t="str">
        <f t="shared" si="25"/>
        <v/>
      </c>
      <c r="E125" s="162" t="str">
        <f t="shared" si="26"/>
        <v/>
      </c>
      <c r="F125" s="163" t="str">
        <f t="shared" si="27"/>
        <v/>
      </c>
      <c r="G125" s="154" t="str">
        <f>IF(C125="","",IF(SUM(C126:C$134)=0,C125-C$7+C$8+G$10+H125+R125,C125+H125+R125))</f>
        <v/>
      </c>
      <c r="H125" s="154"/>
      <c r="I125" s="155" t="str">
        <f t="shared" si="20"/>
        <v/>
      </c>
      <c r="J125" s="155" t="str">
        <f t="shared" si="21"/>
        <v/>
      </c>
      <c r="K125" s="155" t="str">
        <f>IF(M125="","",IF(B126="",SUM($J$13:$J125),SUM($J$13:$J125,$J126*(M125-A125)/(A126-A125))))</f>
        <v/>
      </c>
      <c r="L125" s="155" t="str">
        <f>IF(M125="","",IF(B126="",SUM($D$13:$D125,$R$12:$R125,$G$5:$G$10,$C$9,-$C$10),SUM($D$13:$D125,$R$12:$R125,$G$5:$G$10,$D126*(M125-A125)/(A126-A125),$C$9,-$C$10)))</f>
        <v/>
      </c>
      <c r="M125" s="157" t="str">
        <f t="shared" si="22"/>
        <v/>
      </c>
      <c r="N125" s="158" t="str">
        <f t="shared" si="17"/>
        <v/>
      </c>
      <c r="O125" s="164" t="str">
        <f t="shared" si="28"/>
        <v/>
      </c>
      <c r="P125" s="166" t="str">
        <f t="shared" si="29"/>
        <v/>
      </c>
      <c r="R125" s="154"/>
      <c r="S125" s="150" t="str">
        <f t="shared" si="18"/>
        <v/>
      </c>
      <c r="T125" s="151" t="str">
        <f t="shared" si="19"/>
        <v/>
      </c>
    </row>
    <row r="126" spans="1:20">
      <c r="A126" s="160" t="str">
        <f t="shared" si="23"/>
        <v/>
      </c>
      <c r="B126" s="161" t="str">
        <f>IF($E$5*$E$7&lt;114,"",114)</f>
        <v/>
      </c>
      <c r="C126" s="162" t="str">
        <f t="shared" si="24"/>
        <v/>
      </c>
      <c r="D126" s="162" t="str">
        <f t="shared" si="25"/>
        <v/>
      </c>
      <c r="E126" s="162" t="str">
        <f t="shared" si="26"/>
        <v/>
      </c>
      <c r="F126" s="163" t="str">
        <f t="shared" si="27"/>
        <v/>
      </c>
      <c r="G126" s="154" t="str">
        <f>IF(C126="","",IF(SUM(C127:C$134)=0,C126-C$7+C$8+G$10+H126+R126,C126+H126+R126))</f>
        <v/>
      </c>
      <c r="H126" s="154"/>
      <c r="I126" s="155" t="str">
        <f t="shared" si="20"/>
        <v/>
      </c>
      <c r="J126" s="155" t="str">
        <f t="shared" si="21"/>
        <v/>
      </c>
      <c r="K126" s="155" t="str">
        <f>IF(M126="","",IF(B127="",SUM($J$13:$J126),SUM($J$13:$J126,$J127*(M126-A126)/(A127-A126))))</f>
        <v/>
      </c>
      <c r="L126" s="155" t="str">
        <f>IF(M126="","",IF(B127="",SUM($D$13:$D126,$R$12:$R126,$G$5:$G$10,$C$9,-$C$10),SUM($D$13:$D126,$R$12:$R126,$G$5:$G$10,$D127*(M126-A126)/(A127-A126),$C$9,-$C$10)))</f>
        <v/>
      </c>
      <c r="M126" s="157" t="str">
        <f t="shared" si="22"/>
        <v/>
      </c>
      <c r="N126" s="158" t="str">
        <f t="shared" si="17"/>
        <v/>
      </c>
      <c r="O126" s="164" t="str">
        <f t="shared" si="28"/>
        <v/>
      </c>
      <c r="P126" s="166" t="str">
        <f t="shared" si="29"/>
        <v/>
      </c>
      <c r="R126" s="154"/>
      <c r="S126" s="150" t="str">
        <f t="shared" si="18"/>
        <v/>
      </c>
      <c r="T126" s="151" t="str">
        <f t="shared" si="19"/>
        <v/>
      </c>
    </row>
    <row r="127" spans="1:20">
      <c r="A127" s="160" t="str">
        <f t="shared" si="23"/>
        <v/>
      </c>
      <c r="B127" s="161" t="str">
        <f>IF($E$5*$E$7&lt;115,"",115)</f>
        <v/>
      </c>
      <c r="C127" s="162" t="str">
        <f t="shared" si="24"/>
        <v/>
      </c>
      <c r="D127" s="162" t="str">
        <f t="shared" si="25"/>
        <v/>
      </c>
      <c r="E127" s="162" t="str">
        <f t="shared" si="26"/>
        <v/>
      </c>
      <c r="F127" s="163" t="str">
        <f t="shared" si="27"/>
        <v/>
      </c>
      <c r="G127" s="154" t="str">
        <f>IF(C127="","",IF(SUM(C128:C$134)=0,C127-C$7+C$8+G$10+H127+R127,C127+H127+R127))</f>
        <v/>
      </c>
      <c r="H127" s="154"/>
      <c r="I127" s="155" t="str">
        <f t="shared" si="20"/>
        <v/>
      </c>
      <c r="J127" s="155" t="str">
        <f t="shared" si="21"/>
        <v/>
      </c>
      <c r="K127" s="155" t="str">
        <f>IF(M127="","",IF(B128="",SUM($J$13:$J127),SUM($J$13:$J127,$J128*(M127-A127)/(A128-A127))))</f>
        <v/>
      </c>
      <c r="L127" s="155" t="str">
        <f>IF(M127="","",IF(B128="",SUM($D$13:$D127,$R$12:$R127,$G$5:$G$10,$C$9,-$C$10),SUM($D$13:$D127,$R$12:$R127,$G$5:$G$10,$D128*(M127-A127)/(A128-A127),$C$9,-$C$10)))</f>
        <v/>
      </c>
      <c r="M127" s="157" t="str">
        <f t="shared" si="22"/>
        <v/>
      </c>
      <c r="N127" s="158" t="str">
        <f t="shared" si="17"/>
        <v/>
      </c>
      <c r="O127" s="164" t="str">
        <f t="shared" si="28"/>
        <v/>
      </c>
      <c r="P127" s="166" t="str">
        <f t="shared" si="29"/>
        <v/>
      </c>
      <c r="R127" s="154"/>
      <c r="S127" s="150" t="str">
        <f t="shared" si="18"/>
        <v/>
      </c>
      <c r="T127" s="151" t="str">
        <f t="shared" si="19"/>
        <v/>
      </c>
    </row>
    <row r="128" spans="1:20">
      <c r="A128" s="160" t="str">
        <f t="shared" si="23"/>
        <v/>
      </c>
      <c r="B128" s="161" t="str">
        <f>IF($E$5*$E$7&lt;116,"",116)</f>
        <v/>
      </c>
      <c r="C128" s="162" t="str">
        <f t="shared" si="24"/>
        <v/>
      </c>
      <c r="D128" s="162" t="str">
        <f t="shared" si="25"/>
        <v/>
      </c>
      <c r="E128" s="162" t="str">
        <f t="shared" si="26"/>
        <v/>
      </c>
      <c r="F128" s="163" t="str">
        <f t="shared" si="27"/>
        <v/>
      </c>
      <c r="G128" s="154" t="str">
        <f>IF(C128="","",IF(SUM(C129:C$134)=0,C128-C$7+C$8+G$10+H128+R128,C128+H128+R128))</f>
        <v/>
      </c>
      <c r="H128" s="154"/>
      <c r="I128" s="155" t="str">
        <f t="shared" si="20"/>
        <v/>
      </c>
      <c r="J128" s="155" t="str">
        <f t="shared" si="21"/>
        <v/>
      </c>
      <c r="K128" s="155" t="str">
        <f>IF(M128="","",IF(B129="",SUM($J$13:$J128),SUM($J$13:$J128,$J129*(M128-A128)/(A129-A128))))</f>
        <v/>
      </c>
      <c r="L128" s="155" t="str">
        <f>IF(M128="","",IF(B129="",SUM($D$13:$D128,$R$12:$R128,$G$5:$G$10,$C$9,-$C$10),SUM($D$13:$D128,$R$12:$R128,$G$5:$G$10,$D129*(M128-A128)/(A129-A128),$C$9,-$C$10)))</f>
        <v/>
      </c>
      <c r="M128" s="157" t="str">
        <f t="shared" si="22"/>
        <v/>
      </c>
      <c r="N128" s="158" t="str">
        <f t="shared" si="17"/>
        <v/>
      </c>
      <c r="O128" s="164" t="str">
        <f t="shared" si="28"/>
        <v/>
      </c>
      <c r="P128" s="166" t="str">
        <f t="shared" si="29"/>
        <v/>
      </c>
      <c r="R128" s="154"/>
      <c r="S128" s="150" t="str">
        <f t="shared" si="18"/>
        <v/>
      </c>
      <c r="T128" s="151" t="str">
        <f t="shared" si="19"/>
        <v/>
      </c>
    </row>
    <row r="129" spans="1:20">
      <c r="A129" s="160" t="str">
        <f t="shared" si="23"/>
        <v/>
      </c>
      <c r="B129" s="161" t="str">
        <f>IF($E$5*$E$7&lt;117,"",117)</f>
        <v/>
      </c>
      <c r="C129" s="162" t="str">
        <f t="shared" si="24"/>
        <v/>
      </c>
      <c r="D129" s="162" t="str">
        <f t="shared" si="25"/>
        <v/>
      </c>
      <c r="E129" s="162" t="str">
        <f t="shared" si="26"/>
        <v/>
      </c>
      <c r="F129" s="163" t="str">
        <f t="shared" si="27"/>
        <v/>
      </c>
      <c r="G129" s="154" t="str">
        <f>IF(C129="","",IF(SUM(C130:C$134)=0,C129-C$7+C$8+G$10+H129+R129,C129+H129+R129))</f>
        <v/>
      </c>
      <c r="H129" s="154"/>
      <c r="I129" s="155" t="str">
        <f t="shared" si="20"/>
        <v/>
      </c>
      <c r="J129" s="155" t="str">
        <f t="shared" si="21"/>
        <v/>
      </c>
      <c r="K129" s="155" t="str">
        <f>IF(M129="","",IF(B130="",SUM($J$13:$J129),SUM($J$13:$J129,$J130*(M129-A129)/(A130-A129))))</f>
        <v/>
      </c>
      <c r="L129" s="155" t="str">
        <f>IF(M129="","",IF(B130="",SUM($D$13:$D129,$R$12:$R129,$G$5:$G$10,$C$9,-$C$10),SUM($D$13:$D129,$R$12:$R129,$G$5:$G$10,$D130*(M129-A129)/(A130-A129),$C$9,-$C$10)))</f>
        <v/>
      </c>
      <c r="M129" s="157" t="str">
        <f t="shared" si="22"/>
        <v/>
      </c>
      <c r="N129" s="158" t="str">
        <f t="shared" si="17"/>
        <v/>
      </c>
      <c r="O129" s="164" t="str">
        <f t="shared" si="28"/>
        <v/>
      </c>
      <c r="P129" s="166" t="str">
        <f t="shared" si="29"/>
        <v/>
      </c>
      <c r="R129" s="154"/>
      <c r="S129" s="150" t="str">
        <f t="shared" si="18"/>
        <v/>
      </c>
      <c r="T129" s="151" t="str">
        <f t="shared" si="19"/>
        <v/>
      </c>
    </row>
    <row r="130" spans="1:20">
      <c r="A130" s="160" t="str">
        <f t="shared" si="23"/>
        <v/>
      </c>
      <c r="B130" s="161" t="str">
        <f>IF($E$5*$E$7&lt;118,"",118)</f>
        <v/>
      </c>
      <c r="C130" s="162" t="str">
        <f t="shared" si="24"/>
        <v/>
      </c>
      <c r="D130" s="162" t="str">
        <f t="shared" si="25"/>
        <v/>
      </c>
      <c r="E130" s="162" t="str">
        <f t="shared" si="26"/>
        <v/>
      </c>
      <c r="F130" s="163" t="str">
        <f t="shared" si="27"/>
        <v/>
      </c>
      <c r="G130" s="154" t="str">
        <f>IF(C130="","",IF(SUM(C131:C$134)=0,C130-C$7+C$8+G$10+H130+R130,C130+H130+R130))</f>
        <v/>
      </c>
      <c r="H130" s="154"/>
      <c r="I130" s="155" t="str">
        <f t="shared" si="20"/>
        <v/>
      </c>
      <c r="J130" s="155" t="str">
        <f t="shared" si="21"/>
        <v/>
      </c>
      <c r="K130" s="155" t="str">
        <f>IF(M130="","",IF(B131="",SUM($J$13:$J130),SUM($J$13:$J130,$J131*(M130-A130)/(A131-A130))))</f>
        <v/>
      </c>
      <c r="L130" s="155" t="str">
        <f>IF(M130="","",IF(B131="",SUM($D$13:$D130,$R$12:$R130,$G$5:$G$10,$C$9,-$C$10),SUM($D$13:$D130,$R$12:$R130,$G$5:$G$10,$D131*(M130-A130)/(A131-A130),$C$9,-$C$10)))</f>
        <v/>
      </c>
      <c r="M130" s="157" t="str">
        <f t="shared" si="22"/>
        <v/>
      </c>
      <c r="N130" s="158" t="str">
        <f t="shared" si="17"/>
        <v/>
      </c>
      <c r="O130" s="164" t="str">
        <f t="shared" si="28"/>
        <v/>
      </c>
      <c r="P130" s="166" t="str">
        <f t="shared" si="29"/>
        <v/>
      </c>
      <c r="R130" s="154"/>
      <c r="S130" s="150" t="str">
        <f t="shared" si="18"/>
        <v/>
      </c>
      <c r="T130" s="151" t="str">
        <f t="shared" si="19"/>
        <v/>
      </c>
    </row>
    <row r="131" spans="1:20">
      <c r="A131" s="160" t="str">
        <f t="shared" si="23"/>
        <v/>
      </c>
      <c r="B131" s="161" t="str">
        <f>IF($E$5*$E$7&lt;119,"",119)</f>
        <v/>
      </c>
      <c r="C131" s="162" t="str">
        <f t="shared" si="24"/>
        <v/>
      </c>
      <c r="D131" s="162" t="str">
        <f t="shared" si="25"/>
        <v/>
      </c>
      <c r="E131" s="162" t="str">
        <f t="shared" si="26"/>
        <v/>
      </c>
      <c r="F131" s="163" t="str">
        <f t="shared" si="27"/>
        <v/>
      </c>
      <c r="G131" s="154" t="str">
        <f>IF(C131="","",IF(SUM(C132:C$134)=0,C131-C$7+C$8+G$10+H131+R131,C131+H131+R131))</f>
        <v/>
      </c>
      <c r="H131" s="154"/>
      <c r="I131" s="155" t="str">
        <f t="shared" si="20"/>
        <v/>
      </c>
      <c r="J131" s="155" t="str">
        <f t="shared" si="21"/>
        <v/>
      </c>
      <c r="K131" s="155" t="str">
        <f>IF(M131="","",IF(B132="",SUM($J$13:$J131),SUM($J$13:$J131,$J132*(M131-A131)/(A132-A131))))</f>
        <v/>
      </c>
      <c r="L131" s="155" t="str">
        <f>IF(M131="","",IF(B132="",SUM($D$13:$D131,$R$12:$R131,$G$5:$G$10,$C$9,-$C$10),SUM($D$13:$D131,$R$12:$R131,$G$5:$G$10,$D132*(M131-A131)/(A132-A131),$C$9,-$C$10)))</f>
        <v/>
      </c>
      <c r="M131" s="157" t="str">
        <f t="shared" si="22"/>
        <v/>
      </c>
      <c r="N131" s="158" t="str">
        <f t="shared" si="17"/>
        <v/>
      </c>
      <c r="O131" s="164" t="str">
        <f t="shared" si="28"/>
        <v/>
      </c>
      <c r="P131" s="166" t="str">
        <f t="shared" si="29"/>
        <v/>
      </c>
      <c r="R131" s="154"/>
      <c r="S131" s="150" t="str">
        <f t="shared" si="18"/>
        <v/>
      </c>
      <c r="T131" s="151" t="str">
        <f t="shared" si="19"/>
        <v/>
      </c>
    </row>
    <row r="132" spans="1:20">
      <c r="A132" s="160" t="str">
        <f t="shared" si="23"/>
        <v/>
      </c>
      <c r="B132" s="161" t="str">
        <f>IF($E$5*$E$7&lt;120,"",120)</f>
        <v/>
      </c>
      <c r="C132" s="162" t="str">
        <f t="shared" si="24"/>
        <v/>
      </c>
      <c r="D132" s="162" t="str">
        <f t="shared" si="25"/>
        <v/>
      </c>
      <c r="E132" s="162" t="str">
        <f t="shared" si="26"/>
        <v/>
      </c>
      <c r="F132" s="163" t="str">
        <f t="shared" si="27"/>
        <v/>
      </c>
      <c r="G132" s="154" t="str">
        <f>IF(C132="","",IF(SUM(C133:C$134)=0,C132-C$7+C$8+G$10+H132+R132,C132+H132+R132))</f>
        <v/>
      </c>
      <c r="H132" s="154"/>
      <c r="I132" s="155" t="str">
        <f t="shared" si="20"/>
        <v/>
      </c>
      <c r="J132" s="155" t="str">
        <f t="shared" si="21"/>
        <v/>
      </c>
      <c r="K132" s="155" t="str">
        <f>IF(M132="","",IF(B133="",SUM($J$13:$J132),SUM($J$13:$J132,$J133*(M132-A132)/(A133-A132))))</f>
        <v/>
      </c>
      <c r="L132" s="155" t="str">
        <f>IF(M132="","",IF(B133="",SUM($D$13:$D132,$R$12:$R132,$G$5:$G$10,$C$9,-$C$10),SUM($D$13:$D132,$R$12:$R132,$G$5:$G$10,$D133*(M132-A132)/(A133-A132),$C$9,-$C$10)))</f>
        <v/>
      </c>
      <c r="M132" s="157" t="str">
        <f t="shared" si="22"/>
        <v/>
      </c>
      <c r="N132" s="158" t="str">
        <f t="shared" si="17"/>
        <v/>
      </c>
      <c r="O132" s="164" t="str">
        <f t="shared" si="28"/>
        <v/>
      </c>
      <c r="P132" s="166" t="str">
        <f t="shared" si="29"/>
        <v/>
      </c>
      <c r="R132" s="154"/>
      <c r="S132" s="150" t="str">
        <f t="shared" si="18"/>
        <v/>
      </c>
      <c r="T132" s="151" t="str">
        <f t="shared" si="19"/>
        <v/>
      </c>
    </row>
    <row r="133" spans="1:20">
      <c r="A133" s="160" t="str">
        <f t="shared" si="23"/>
        <v/>
      </c>
      <c r="B133" s="161" t="str">
        <f>IF($E$5*$E$7&lt;121,"",121)</f>
        <v/>
      </c>
      <c r="C133" s="162" t="str">
        <f t="shared" si="24"/>
        <v/>
      </c>
      <c r="D133" s="162" t="str">
        <f t="shared" si="25"/>
        <v/>
      </c>
      <c r="E133" s="162" t="str">
        <f t="shared" si="26"/>
        <v/>
      </c>
      <c r="F133" s="163" t="str">
        <f t="shared" si="27"/>
        <v/>
      </c>
      <c r="G133" s="154" t="str">
        <f>IF(C133="","",IF(SUM(C134:C$134)=0,C133-C$7+C$8+G$10+H133+R133,C133+H133+R133))</f>
        <v/>
      </c>
      <c r="H133" s="154"/>
      <c r="I133" s="155" t="str">
        <f t="shared" si="20"/>
        <v/>
      </c>
      <c r="J133" s="155" t="str">
        <f t="shared" si="21"/>
        <v/>
      </c>
      <c r="K133" s="155" t="str">
        <f>IF(M133="","",IF(B134="",SUM($J$13:$J133),SUM($J$13:$J133,$J134*(M133-A133)/(A134-A133))))</f>
        <v/>
      </c>
      <c r="L133" s="155" t="str">
        <f>IF(M133="","",IF(B134="",SUM($D$13:$D133,$R$12:$R133,$G$5:$G$10,$C$9,-$C$10),SUM($D$13:$D133,$R$12:$R133,$G$5:$G$10,$D134*(M133-A133)/(A134-A133),$C$9,-$C$10)))</f>
        <v/>
      </c>
      <c r="M133" s="157" t="str">
        <f t="shared" si="22"/>
        <v/>
      </c>
      <c r="N133" s="158" t="str">
        <f t="shared" si="17"/>
        <v/>
      </c>
      <c r="O133" s="164" t="str">
        <f t="shared" si="28"/>
        <v/>
      </c>
      <c r="P133" s="166" t="str">
        <f t="shared" si="29"/>
        <v/>
      </c>
      <c r="R133" s="154"/>
      <c r="S133" s="150" t="str">
        <f t="shared" si="18"/>
        <v/>
      </c>
      <c r="T133" s="151" t="str">
        <f t="shared" si="19"/>
        <v/>
      </c>
    </row>
    <row r="134" spans="1:20">
      <c r="A134" s="160" t="str">
        <f t="shared" si="23"/>
        <v/>
      </c>
      <c r="B134" s="161" t="str">
        <f>IF($E$5*$E$7&lt;122,"",122)</f>
        <v/>
      </c>
      <c r="C134" s="162" t="str">
        <f t="shared" si="24"/>
        <v/>
      </c>
      <c r="D134" s="162" t="str">
        <f t="shared" si="25"/>
        <v/>
      </c>
      <c r="E134" s="162" t="str">
        <f t="shared" si="26"/>
        <v/>
      </c>
      <c r="F134" s="163" t="str">
        <f t="shared" si="27"/>
        <v/>
      </c>
      <c r="G134" s="154" t="str">
        <f>IF(C134="","",IF(SUM(C$134:C135)=0,C134-C$7+C$8+G$10+H134+R134,C134+H134+R134))</f>
        <v/>
      </c>
      <c r="H134" s="154"/>
      <c r="I134" s="155"/>
      <c r="J134" s="155" t="str">
        <f t="shared" si="21"/>
        <v/>
      </c>
      <c r="K134" s="155" t="str">
        <f>IF(M134="","",IF(B135="",SUM($J$13:$J134),SUM($J$13:$J134,$J135*(M134-A134)/(A135-A134))))</f>
        <v/>
      </c>
      <c r="L134" s="155" t="str">
        <f>IF(M134="","",IF(B135="",SUM($D$13:$D134,$R$12:$R134,$G$5:$G$10,$C$9,-$C$10),SUM($D$13:$D134,$R$12:$R134,$G$5:$G$10,$D135*(M134-A134)/(A135-A134),$C$9,-$C$10)))</f>
        <v/>
      </c>
      <c r="M134" s="157" t="str">
        <f t="shared" si="22"/>
        <v/>
      </c>
      <c r="N134" s="158" t="str">
        <f t="shared" si="17"/>
        <v/>
      </c>
      <c r="O134" s="164" t="str">
        <f t="shared" si="28"/>
        <v/>
      </c>
      <c r="P134" s="166" t="str">
        <f t="shared" si="29"/>
        <v/>
      </c>
      <c r="R134" s="154"/>
      <c r="S134" s="150" t="str">
        <f t="shared" si="18"/>
        <v/>
      </c>
      <c r="T134" s="151" t="str">
        <f t="shared" si="19"/>
        <v/>
      </c>
    </row>
    <row r="135" spans="1:20">
      <c r="A135" s="232" t="s">
        <v>148</v>
      </c>
      <c r="B135" s="232" t="s">
        <v>149</v>
      </c>
    </row>
  </sheetData>
  <sheetProtection selectLockedCells="1"/>
  <mergeCells count="14">
    <mergeCell ref="S5:S6"/>
    <mergeCell ref="T5:T6"/>
    <mergeCell ref="B1:G1"/>
    <mergeCell ref="O2:P4"/>
    <mergeCell ref="O11:P11"/>
    <mergeCell ref="O6:P6"/>
    <mergeCell ref="O7:P7"/>
    <mergeCell ref="E11:E12"/>
    <mergeCell ref="B11:B12"/>
    <mergeCell ref="C11:C12"/>
    <mergeCell ref="D11:D12"/>
    <mergeCell ref="O9:P9"/>
    <mergeCell ref="O10:P10"/>
    <mergeCell ref="O8:P8"/>
  </mergeCells>
  <phoneticPr fontId="2" type="noConversion"/>
  <conditionalFormatting sqref="H11 R11">
    <cfRule type="expression" dxfId="10" priority="5" stopIfTrue="1">
      <formula>SUM(H12:H134)&lt;&gt;0</formula>
    </cfRule>
  </conditionalFormatting>
  <conditionalFormatting sqref="E2 C2">
    <cfRule type="expression" dxfId="9" priority="6" stopIfTrue="1">
      <formula>AND($J$2=0,$K$2=1)</formula>
    </cfRule>
  </conditionalFormatting>
  <conditionalFormatting sqref="A7">
    <cfRule type="expression" dxfId="8" priority="7" stopIfTrue="1">
      <formula>AND(A10&lt;&gt;C5-C6-C8+C9,K2=0)</formula>
    </cfRule>
  </conditionalFormatting>
  <conditionalFormatting sqref="A9">
    <cfRule type="expression" dxfId="7" priority="8" stopIfTrue="1">
      <formula>AND(A10&lt;&gt;C5-C6-C8+C9,K2=1)</formula>
    </cfRule>
  </conditionalFormatting>
  <conditionalFormatting sqref="D13:E134">
    <cfRule type="cellIs" dxfId="6" priority="3" stopIfTrue="1" operator="lessThan">
      <formula>0</formula>
    </cfRule>
  </conditionalFormatting>
  <conditionalFormatting sqref="E6">
    <cfRule type="expression" dxfId="5" priority="2" stopIfTrue="1">
      <formula>IF($E$5&lt;=0.5,$E$6&lt;5.6%,IF($E$5&lt;=1,$E$6&lt;6%,IF($E$5&lt;=3,$E$6&lt;6.15%,IF($E$5&lt;=5,$E$6&lt;6.4%,$E$6&lt;6.55%))))</formula>
    </cfRule>
  </conditionalFormatting>
  <conditionalFormatting sqref="G3">
    <cfRule type="expression" dxfId="4" priority="1" stopIfTrue="1">
      <formula>IF($E$5&lt;=0.5,$G$3&lt;7.6%,IF($E$5&lt;=1,$G$3&lt;8%,IF($E$5&lt;=3,$G$3&lt;8.15%,IF($E$5&lt;=5,$G$3&lt;8.4%,$G$3&lt;8.55%))))</formula>
    </cfRule>
  </conditionalFormatting>
  <dataValidations xWindow="1382" yWindow="619" count="19">
    <dataValidation type="custom" errorStyle="warning" allowBlank="1" showInputMessage="1" showErrorMessage="1" error="此表仅支持租赁间隔相等且租赁间隔为整月的租金序列。_x000a__x000a_建议您修改还租次数或使用不等期测算表。" sqref="E7">
      <formula1>AND(INT(E5*12/(12/E7))=E5*12/(12/E7),INT(12/E7)=(12/E7))</formula1>
    </dataValidation>
    <dataValidation type="date" allowBlank="1" showInputMessage="1" showErrorMessage="1" error="_x000a_请输入日期格式_x000a__x000a_例：2010.2.8_x000a_或：2010-2-8" prompt="请合理预计并调整起租日" sqref="E10">
      <formula1>36892</formula1>
      <formula2>44135</formula2>
    </dataValidation>
    <dataValidation allowBlank="1" showInputMessage="1" showErrorMessage="1" prompt="TCR" sqref="I11:N11"/>
    <dataValidation type="list" showInputMessage="1" showErrorMessage="1" error="_x000a_不能为空" sqref="G2">
      <formula1>"后付,先付"</formula1>
    </dataValidation>
    <dataValidation type="list" showInputMessage="1" showErrorMessage="1" sqref="C2">
      <formula1>"明示利率,隐含利率"</formula1>
    </dataValidation>
    <dataValidation type="list" showInputMessage="1" showErrorMessage="1" sqref="E2">
      <formula1>"等额租金,等额本金,不等额租金"</formula1>
    </dataValidation>
    <dataValidation allowBlank="1" showInputMessage="1" showErrorMessage="1" prompt="例:租期为20月输入=20/12" sqref="E5"/>
    <dataValidation allowBlank="1" showInputMessage="1" showErrorMessage="1" prompt="来自承租人" sqref="G7"/>
    <dataValidation allowBlank="1" showInputMessage="1" showErrorMessage="1" prompt="来自供货商" sqref="G5"/>
    <dataValidation allowBlank="1" showInputMessage="1" showErrorMessage="1" prompt="资产报酬率" sqref="I8:N8"/>
    <dataValidation allowBlank="1" showInputMessage="1" showErrorMessage="1" prompt="当年及以后年收入" sqref="I9:N9"/>
    <dataValidation allowBlank="1" showInputMessage="1" showErrorMessage="1" prompt="当年及以后年占用" sqref="I10:N10"/>
    <dataValidation allowBlank="1" showInputMessage="1" showErrorMessage="1" prompt="当年收入" sqref="I6:N6"/>
    <dataValidation allowBlank="1" showInputMessage="1" showErrorMessage="1" prompt="当年占用" sqref="I7:N7"/>
    <dataValidation type="date" allowBlank="1" showInputMessage="1" showErrorMessage="1" error="_x000a_请输入日期格式_x000a__x000a_例：2010.2.8_x000a_或：2010-2-8" sqref="A13:A134">
      <formula1>36892</formula1>
      <formula2>44135</formula2>
    </dataValidation>
    <dataValidation allowBlank="1" showInputMessage="1" showErrorMessage="1" prompt="适用于服务费等收入和补贴非即期收付调整;_x000a_现金流调整有正必有负,正负必相等。" sqref="R12:R134"/>
    <dataValidation type="whole" errorStyle="warning" allowBlank="1" showInputMessage="1" showErrorMessage="1" error="该单元格不能直接收入,您应当先锁定租金收入,然后修正年利率到预期数值,再使用单变量求解,目标单元为末期&quot;未回收成本&quot;,目标值为&quot;0&quot;,可变单元格指向该单元格." sqref="C9">
      <formula1>0</formula1>
      <formula2>0</formula2>
    </dataValidation>
    <dataValidation type="whole" errorStyle="warning" allowBlank="1" showInputMessage="1" showErrorMessage="1" error="资产余值是较为罕见的交易结构,您确定要这样做吗?" sqref="C8">
      <formula1>0</formula1>
      <formula2>0</formula2>
    </dataValidation>
    <dataValidation type="list" allowBlank="1" showInputMessage="1" showErrorMessage="1" sqref="H1">
      <formula1>"人民币电汇,直租银票（全国性）,直租银票（区域性）,回租银票,电子银票-直租银票（全国性）,电子银票-直租银票（区域性）,电子银票-回租银票,商票,履约保函,联行保函,境外远期信用证,境内远期信用证,美元结汇,原币划转,宏明即期+远东延期支付"</formula1>
    </dataValidation>
  </dataValidations>
  <pageMargins left="0.75" right="0.75" top="1" bottom="1" header="0.5" footer="0.5"/>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99"/>
  </sheetPr>
  <dimension ref="A1:U136"/>
  <sheetViews>
    <sheetView zoomScale="90" zoomScaleNormal="90" workbookViewId="0">
      <selection sqref="A1:IV65536"/>
    </sheetView>
  </sheetViews>
  <sheetFormatPr defaultColWidth="12.625" defaultRowHeight="12.75"/>
  <cols>
    <col min="1" max="1" width="16.125" style="2" bestFit="1" customWidth="1"/>
    <col min="2" max="2" width="12.25" style="2" bestFit="1" customWidth="1"/>
    <col min="3" max="7" width="13.875" style="2" customWidth="1"/>
    <col min="8" max="8" width="16.25" style="2" customWidth="1"/>
    <col min="9" max="9" width="19.625" style="8" hidden="1" customWidth="1"/>
    <col min="10" max="10" width="14.875" style="8" customWidth="1"/>
    <col min="11" max="12" width="14.875" style="8" hidden="1" customWidth="1"/>
    <col min="13" max="13" width="14.875" style="14" hidden="1" customWidth="1"/>
    <col min="14" max="14" width="14.875" style="13" hidden="1" customWidth="1"/>
    <col min="15" max="15" width="17.75" style="13" customWidth="1"/>
    <col min="16" max="16" width="15" style="13" bestFit="1" customWidth="1"/>
    <col min="17" max="18" width="15.25" style="2" customWidth="1"/>
    <col min="19" max="21" width="12.625" style="10" customWidth="1"/>
    <col min="22" max="16384" width="12.625" style="2"/>
  </cols>
  <sheetData>
    <row r="1" spans="1:21" s="1" customFormat="1" ht="29.25" customHeight="1">
      <c r="B1" s="220" t="s">
        <v>39</v>
      </c>
      <c r="C1" s="220"/>
      <c r="D1" s="220"/>
      <c r="E1" s="220"/>
      <c r="F1" s="220"/>
      <c r="G1" s="220"/>
      <c r="H1" s="94" t="str">
        <f>正常测算!H1</f>
        <v>人民币电汇</v>
      </c>
      <c r="I1" s="77">
        <f>IF(DATE(YEAR(A12),MONTH(A12)+12/$E$7+1,DAY(1))-1&lt;DATE(YEAR(A12),MONTH(A12)+12/$E$7,DAY($A$12)),DATE(YEAR(A12),MONTH(A12)+12/$E$7+1,DAY(1))-1,DATE(YEAR(A12),MONTH(A12)+12/$E$7,DAY($A$12)))</f>
        <v>42338</v>
      </c>
      <c r="J1" s="4" t="s">
        <v>21</v>
      </c>
      <c r="K1" s="4" t="s">
        <v>36</v>
      </c>
      <c r="L1" s="4" t="s">
        <v>37</v>
      </c>
      <c r="M1" s="23" t="s">
        <v>38</v>
      </c>
      <c r="N1" s="12" t="s">
        <v>35</v>
      </c>
      <c r="O1" s="58"/>
      <c r="P1" s="12"/>
      <c r="S1" s="59"/>
      <c r="T1" s="59"/>
      <c r="U1" s="59"/>
    </row>
    <row r="2" spans="1:21" s="19" customFormat="1" ht="18.75" customHeight="1">
      <c r="A2" s="24" t="s">
        <v>25</v>
      </c>
      <c r="B2" s="20" t="s">
        <v>22</v>
      </c>
      <c r="C2" s="39" t="str">
        <f>正常测算!C2</f>
        <v>隐含利率</v>
      </c>
      <c r="D2" s="20" t="s">
        <v>23</v>
      </c>
      <c r="E2" s="39" t="str">
        <f>正常测算!E2</f>
        <v>等额租金</v>
      </c>
      <c r="F2" s="20" t="s">
        <v>53</v>
      </c>
      <c r="G2" s="39" t="str">
        <f>正常测算!G2</f>
        <v>后付</v>
      </c>
      <c r="H2" s="31" t="s">
        <v>137</v>
      </c>
      <c r="I2" s="67"/>
      <c r="J2" s="32">
        <f>IF(C2="明示利率",1,0)</f>
        <v>0</v>
      </c>
      <c r="K2" s="33">
        <f>IF(E2="等额本金",1,0)</f>
        <v>0</v>
      </c>
      <c r="L2" s="33">
        <f>IF(G2="先付",1,0)</f>
        <v>0</v>
      </c>
      <c r="M2" s="33">
        <f>IF(E2="不等额租金",1,0)</f>
        <v>0</v>
      </c>
      <c r="N2" s="33">
        <f>IF(E2="等额租金",1,0)</f>
        <v>1</v>
      </c>
      <c r="O2" s="221" t="s">
        <v>45</v>
      </c>
      <c r="P2" s="221"/>
      <c r="S2" s="60"/>
      <c r="T2" s="60"/>
      <c r="U2" s="60"/>
    </row>
    <row r="3" spans="1:21" s="3" customFormat="1" ht="15" customHeight="1">
      <c r="A3" s="37" t="str">
        <f>IF(AND(J2=1,N2=1),"明示利率等额租金",IF(AND(J2=1,K2=1),"明示利率等额本金",IF(AND(J2=0,N2=1),"按金额调息",IF(M2=1,"按金额调息","逻辑错误"))))</f>
        <v>按金额调息</v>
      </c>
      <c r="B3" s="6" t="s">
        <v>15</v>
      </c>
      <c r="C3" s="17">
        <f ca="1">IF(ISERROR(I4),0,I4)</f>
        <v>-10690.071350686812</v>
      </c>
      <c r="D3" s="6" t="s">
        <v>16</v>
      </c>
      <c r="E3" s="17">
        <f ca="1">IF(ISERROR(J4),0,J4)</f>
        <v>4388.4291676958901</v>
      </c>
      <c r="F3" s="6" t="s">
        <v>17</v>
      </c>
      <c r="G3" s="40">
        <f ca="1">IF(AND(C3&gt;0,E3&lt;=0),100%,IF(AND(C3=0,E3=0),0%,C3/E3))</f>
        <v>-2.4359676189782391</v>
      </c>
      <c r="H3" s="28" t="s">
        <v>1</v>
      </c>
      <c r="I3" s="4" t="s">
        <v>55</v>
      </c>
      <c r="J3" s="4" t="s">
        <v>56</v>
      </c>
      <c r="K3" s="4" t="s">
        <v>26</v>
      </c>
      <c r="L3" s="4" t="s">
        <v>27</v>
      </c>
      <c r="M3" s="23" t="s">
        <v>40</v>
      </c>
      <c r="N3" s="12" t="s">
        <v>41</v>
      </c>
      <c r="O3" s="221"/>
      <c r="P3" s="221"/>
      <c r="S3" s="7" t="s">
        <v>57</v>
      </c>
      <c r="T3" s="61" t="e">
        <f ca="1">XIRR(OFFSET(G12,1,0,E5*E7,1),OFFSET(A12,1,0,E5*E7,1),0.01)</f>
        <v>#NUM!</v>
      </c>
      <c r="U3" s="62"/>
    </row>
    <row r="4" spans="1:21" s="1" customFormat="1" ht="15" customHeight="1" thickBot="1">
      <c r="A4" s="27" t="str">
        <f>IF(AND(J2=1,K2=1),"等额不等额本金亦适用","")</f>
        <v/>
      </c>
      <c r="B4" s="6" t="s">
        <v>19</v>
      </c>
      <c r="C4" s="41"/>
      <c r="D4" s="6" t="s">
        <v>20</v>
      </c>
      <c r="E4" s="41"/>
      <c r="F4" s="6" t="s">
        <v>18</v>
      </c>
      <c r="G4" s="78">
        <f ca="1">IF(AND(C3&gt;0,E3&lt;=0),100%,IF(AND(C3=0,E3=0),0%,(C3+C4)/(E3+E4)))</f>
        <v>-2.4359676189782391</v>
      </c>
      <c r="H4" s="42">
        <f>SUM(G$12:G$134)</f>
        <v>-99327776</v>
      </c>
      <c r="I4" s="34">
        <f ca="1">I9/10000</f>
        <v>-10690.071350686812</v>
      </c>
      <c r="J4" s="34">
        <f ca="1">I10/10000</f>
        <v>4388.4291676958901</v>
      </c>
      <c r="K4" s="35">
        <f>A13</f>
        <v>42338</v>
      </c>
      <c r="L4" s="35">
        <f ca="1">OFFSET(B12,MATCH(E5*E7,B13:B134,1),-1,1,1)</f>
        <v>42520</v>
      </c>
      <c r="M4" s="33">
        <f>IF(A3="按金额调息",1,0)</f>
        <v>1</v>
      </c>
      <c r="N4" s="38">
        <f>IF(A3="按比例调息",1,0)</f>
        <v>0</v>
      </c>
      <c r="O4" s="221"/>
      <c r="P4" s="221"/>
      <c r="S4" s="7" t="s">
        <v>58</v>
      </c>
      <c r="T4" s="61">
        <f ca="1">XIRR(OFFSET(G12,0,0,E5*E7+1,1),OFFSET(A12,0,0,E5*E7+1,1),0.01)</f>
        <v>-0.99637975656893085</v>
      </c>
      <c r="U4" s="59"/>
    </row>
    <row r="5" spans="1:21" s="1" customFormat="1" ht="15" customHeight="1">
      <c r="A5" s="25" t="s">
        <v>61</v>
      </c>
      <c r="B5" s="18" t="s">
        <v>2</v>
      </c>
      <c r="C5" s="91">
        <f>正常测算!C5</f>
        <v>100000000</v>
      </c>
      <c r="D5" s="5" t="s">
        <v>46</v>
      </c>
      <c r="E5" s="43">
        <f>正常测算!E5</f>
        <v>1</v>
      </c>
      <c r="F5" s="18" t="s">
        <v>47</v>
      </c>
      <c r="G5" s="92">
        <f>正常测算!G5</f>
        <v>0</v>
      </c>
      <c r="H5" s="28" t="s">
        <v>3</v>
      </c>
      <c r="I5" s="71" t="s">
        <v>28</v>
      </c>
      <c r="J5" s="71" t="s">
        <v>64</v>
      </c>
      <c r="K5" s="71" t="s">
        <v>65</v>
      </c>
      <c r="L5" s="71" t="s">
        <v>66</v>
      </c>
      <c r="M5" s="71" t="s">
        <v>67</v>
      </c>
      <c r="N5" s="71" t="s">
        <v>68</v>
      </c>
      <c r="O5" s="18" t="s">
        <v>69</v>
      </c>
      <c r="P5" s="18">
        <f>$A$6+$C$6</f>
        <v>672224</v>
      </c>
      <c r="Q5" s="22"/>
      <c r="S5" s="218" t="s">
        <v>120</v>
      </c>
      <c r="T5" s="219">
        <f ca="1">IF(ISERROR(XIRR(OFFSET(T10,1,0,E5*E7+2,1),OFFSET(S10,1,0,E5*E7+2,1),0.01)),100%,XIRR(OFFSET(T10,1,0,E5*E7+2,1),OFFSET(S10,1,0,E5*E7+2,1),0.01))</f>
        <v>-0.99637975656893085</v>
      </c>
      <c r="U5" s="59"/>
    </row>
    <row r="6" spans="1:21" ht="15" customHeight="1">
      <c r="A6" s="44">
        <f>SUM($C$13:$C$134)</f>
        <v>672224</v>
      </c>
      <c r="B6" s="7" t="s">
        <v>4</v>
      </c>
      <c r="C6" s="92">
        <f>正常测算!C6</f>
        <v>0</v>
      </c>
      <c r="D6" s="6" t="s">
        <v>48</v>
      </c>
      <c r="E6" s="90">
        <f>正常测算!E6</f>
        <v>0.12828071174154185</v>
      </c>
      <c r="F6" s="7" t="s">
        <v>49</v>
      </c>
      <c r="G6" s="92">
        <f>正常测算!G6</f>
        <v>0</v>
      </c>
      <c r="H6" s="42">
        <f>SUM(J13:J134)</f>
        <v>103304608.4750137</v>
      </c>
      <c r="I6" s="72">
        <f t="shared" ref="I6:M7" ca="1" si="0">IF(ISERROR(I9-J9),0,(I9-J9))</f>
        <v>5644973.8531318754</v>
      </c>
      <c r="J6" s="72">
        <f t="shared" ca="1" si="0"/>
        <v>0</v>
      </c>
      <c r="K6" s="72">
        <f t="shared" ca="1" si="0"/>
        <v>0</v>
      </c>
      <c r="L6" s="72">
        <f t="shared" ca="1" si="0"/>
        <v>0</v>
      </c>
      <c r="M6" s="72">
        <f t="shared" ca="1" si="0"/>
        <v>0</v>
      </c>
      <c r="N6" s="72">
        <f ca="1">IF(ISERROR(N9-0),0,(N9-0))</f>
        <v>-112545687.36</v>
      </c>
      <c r="O6" s="215" t="s">
        <v>24</v>
      </c>
      <c r="P6" s="215"/>
      <c r="Q6" s="21"/>
      <c r="S6" s="218"/>
      <c r="T6" s="219"/>
    </row>
    <row r="7" spans="1:21" ht="15" customHeight="1">
      <c r="A7" s="26" t="str">
        <f>IF(AND(A10&lt;&gt;C5-C6-C8+C9,K2=0),"请修正末期利息","利息收入总额")</f>
        <v>请修正末期利息</v>
      </c>
      <c r="B7" s="7" t="s">
        <v>5</v>
      </c>
      <c r="C7" s="92">
        <f>正常测算!C7</f>
        <v>0</v>
      </c>
      <c r="D7" s="6" t="s">
        <v>50</v>
      </c>
      <c r="E7" s="45">
        <f>正常测算!E7</f>
        <v>2</v>
      </c>
      <c r="F7" s="7" t="s">
        <v>51</v>
      </c>
      <c r="G7" s="92">
        <f>正常测算!G7</f>
        <v>0</v>
      </c>
      <c r="H7" s="29" t="s">
        <v>14</v>
      </c>
      <c r="I7" s="73">
        <f t="shared" ca="1" si="0"/>
        <v>43884291.676958904</v>
      </c>
      <c r="J7" s="73">
        <f t="shared" ca="1" si="0"/>
        <v>0</v>
      </c>
      <c r="K7" s="73">
        <f t="shared" ca="1" si="0"/>
        <v>0</v>
      </c>
      <c r="L7" s="73">
        <f t="shared" ca="1" si="0"/>
        <v>0</v>
      </c>
      <c r="M7" s="73">
        <f t="shared" ca="1" si="0"/>
        <v>0</v>
      </c>
      <c r="N7" s="73">
        <f ca="1">IF(ISERROR(N10-0),0,(N10-0))</f>
        <v>0</v>
      </c>
      <c r="O7" s="215" t="s">
        <v>34</v>
      </c>
      <c r="P7" s="215"/>
      <c r="Q7" s="21"/>
      <c r="S7" s="7" t="s">
        <v>60</v>
      </c>
      <c r="T7" s="61">
        <f>IF(E8="","",IRR(G12:G134,0.01)*E7)</f>
        <v>-1.8806398406606399</v>
      </c>
      <c r="U7" s="68"/>
    </row>
    <row r="8" spans="1:21" ht="15" customHeight="1">
      <c r="A8" s="44">
        <f>SUM($D$13:$D$134)</f>
        <v>13217911.359999999</v>
      </c>
      <c r="B8" s="6" t="s">
        <v>52</v>
      </c>
      <c r="C8" s="92">
        <f>正常测算!C8</f>
        <v>0</v>
      </c>
      <c r="D8" s="6" t="s">
        <v>6</v>
      </c>
      <c r="E8" s="46">
        <f>IF(E7="","",IF(K2=1,ROUND((F$12-C$8)/(E$5*E$7),2),ROUND(-PMT(E$6/E$7,E$5*E$7,F$12,-C$8,L2),2)))</f>
        <v>54860353.549999997</v>
      </c>
      <c r="F8" s="7" t="s">
        <v>7</v>
      </c>
      <c r="G8" s="92">
        <f>正常测算!G8</f>
        <v>0</v>
      </c>
      <c r="H8" s="143" t="str">
        <f>IF(C5="","",IF(OR(ISERROR($H$4/$H$6),$H$4/$H$6&gt;100%,$H$4/$H$6&lt;0),"100.00%",($H$4/H$6)))</f>
        <v>100.00%</v>
      </c>
      <c r="I8" s="74">
        <f t="shared" ref="I8:N8" ca="1" si="1">IF(I7=0,0,I6/I7)</f>
        <v>0.12863313129640244</v>
      </c>
      <c r="J8" s="74">
        <f t="shared" ca="1" si="1"/>
        <v>0</v>
      </c>
      <c r="K8" s="74">
        <f t="shared" ca="1" si="1"/>
        <v>0</v>
      </c>
      <c r="L8" s="74">
        <f t="shared" ca="1" si="1"/>
        <v>0</v>
      </c>
      <c r="M8" s="74">
        <f t="shared" ca="1" si="1"/>
        <v>0</v>
      </c>
      <c r="N8" s="74">
        <f t="shared" ca="1" si="1"/>
        <v>0</v>
      </c>
      <c r="O8" s="215" t="s">
        <v>42</v>
      </c>
      <c r="P8" s="215"/>
      <c r="Q8" s="21"/>
      <c r="S8" s="7" t="s">
        <v>59</v>
      </c>
      <c r="T8" s="61">
        <f ca="1">H10-T7</f>
        <v>2.8806398406606402</v>
      </c>
    </row>
    <row r="9" spans="1:21" ht="15" customHeight="1">
      <c r="A9" s="26" t="str">
        <f>IF(AND(A10&lt;&gt;C5-C6-C8+C9,K2=1),"请修正末期本金","回收成本总额")</f>
        <v>回收成本总额</v>
      </c>
      <c r="B9" s="6" t="s">
        <v>8</v>
      </c>
      <c r="C9" s="92">
        <f>正常测算!C9</f>
        <v>0</v>
      </c>
      <c r="D9" s="6" t="s">
        <v>9</v>
      </c>
      <c r="E9" s="92">
        <f>正常测算!E9</f>
        <v>0</v>
      </c>
      <c r="F9" s="7" t="s">
        <v>10</v>
      </c>
      <c r="G9" s="92">
        <f>正常测算!G9</f>
        <v>0</v>
      </c>
      <c r="H9" s="29" t="s">
        <v>44</v>
      </c>
      <c r="I9" s="75">
        <f ca="1">H4-OFFSET(K12,MATCH(N12,N12:N134,1)-1,1,1,1)</f>
        <v>-106900713.50686812</v>
      </c>
      <c r="J9" s="75">
        <f ca="1">H4-OFFSET(K12,MATCH(N12+1,N13:N134,1),1,1,1)</f>
        <v>-112545687.36</v>
      </c>
      <c r="K9" s="75">
        <f ca="1">H4-OFFSET(K12,MATCH(N12+2,N13:N134,1),1,1,1)</f>
        <v>-112545687.36</v>
      </c>
      <c r="L9" s="75">
        <f ca="1">H4-OFFSET(K12,MATCH(N12+3,N13:N134,1),1,1,1)</f>
        <v>-112545687.36</v>
      </c>
      <c r="M9" s="75">
        <f ca="1">H4-OFFSET(K12,MATCH(N12+4,N13:N134,1),1,1,1)</f>
        <v>-112545687.36</v>
      </c>
      <c r="N9" s="75">
        <f ca="1">H4-OFFSET(K12,MATCH(N12+5,N13:N134,1),1,1,1)</f>
        <v>-112545687.36</v>
      </c>
      <c r="O9" s="215" t="s">
        <v>54</v>
      </c>
      <c r="P9" s="215"/>
      <c r="Q9" s="21"/>
      <c r="R9" s="11"/>
    </row>
    <row r="10" spans="1:21" ht="15" customHeight="1">
      <c r="A10" s="44">
        <f>SUM($E$13:$E$134)</f>
        <v>-12545687.359999999</v>
      </c>
      <c r="B10" s="6" t="s">
        <v>11</v>
      </c>
      <c r="C10" s="92">
        <f>正常测算!C10</f>
        <v>0</v>
      </c>
      <c r="D10" s="6" t="s">
        <v>29</v>
      </c>
      <c r="E10" s="47">
        <f>正常测算!E10</f>
        <v>42154</v>
      </c>
      <c r="F10" s="7" t="s">
        <v>12</v>
      </c>
      <c r="G10" s="92">
        <f>正常测算!G10</f>
        <v>0</v>
      </c>
      <c r="H10" s="111">
        <f ca="1">IF(C5="","",IF(OR(T5&lt;0,T5&gt;100%),100%,T5))</f>
        <v>1</v>
      </c>
      <c r="I10" s="75">
        <f ca="1">H6-OFFSET(K12,MATCH(N12,N12:N134,1)-1,0,1,1)</f>
        <v>43884291.676958904</v>
      </c>
      <c r="J10" s="75">
        <f ca="1">H6-OFFSET(K12,MATCH(N12+1,N13:N134,1),0,1,1)</f>
        <v>0</v>
      </c>
      <c r="K10" s="75">
        <f ca="1">H6-OFFSET(K12,MATCH(N12+2,N13:N134,1),0,1,1)</f>
        <v>0</v>
      </c>
      <c r="L10" s="75">
        <f ca="1">H6-OFFSET(K12,MATCH(N12+3,N13:N134,1),0,1,1)</f>
        <v>0</v>
      </c>
      <c r="M10" s="75">
        <f ca="1">H6-OFFSET(K12,MATCH(N12+4,N13:N134,1),0,1,1)</f>
        <v>0</v>
      </c>
      <c r="N10" s="75">
        <f ca="1">H6-OFFSET(K12,MATCH(N12+5,N13:N134,1),0,1,1)</f>
        <v>0</v>
      </c>
      <c r="O10" s="215"/>
      <c r="P10" s="215"/>
      <c r="R10" s="66"/>
      <c r="S10" s="63" t="s">
        <v>62</v>
      </c>
      <c r="T10" s="6" t="s">
        <v>63</v>
      </c>
    </row>
    <row r="11" spans="1:21" ht="15" customHeight="1" thickBot="1">
      <c r="A11" s="24" t="s">
        <v>43</v>
      </c>
      <c r="B11" s="216" t="s">
        <v>30</v>
      </c>
      <c r="C11" s="216" t="s">
        <v>31</v>
      </c>
      <c r="D11" s="216" t="s">
        <v>32</v>
      </c>
      <c r="E11" s="216" t="s">
        <v>33</v>
      </c>
      <c r="F11" s="16" t="s">
        <v>0</v>
      </c>
      <c r="G11" s="16" t="s">
        <v>13</v>
      </c>
      <c r="H11" s="70" t="str">
        <f>IF(SUM(H12:H134)&lt;&gt;0,"请填写完整","现金流量调整")</f>
        <v>现金流量调整</v>
      </c>
      <c r="I11" s="76">
        <f t="shared" ref="I11:N11" ca="1" si="2">IF(I10=0,0,I9/I10)</f>
        <v>-2.4359676189782387</v>
      </c>
      <c r="J11" s="76">
        <f t="shared" ca="1" si="2"/>
        <v>0</v>
      </c>
      <c r="K11" s="76">
        <f t="shared" ca="1" si="2"/>
        <v>0</v>
      </c>
      <c r="L11" s="76">
        <f t="shared" ca="1" si="2"/>
        <v>0</v>
      </c>
      <c r="M11" s="76">
        <f t="shared" ca="1" si="2"/>
        <v>0</v>
      </c>
      <c r="N11" s="76">
        <f t="shared" ca="1" si="2"/>
        <v>0</v>
      </c>
      <c r="O11" s="222" t="str">
        <f>IF(C5="","",IF(AND(O14=0,P14=0),"","基准利率每调整10个基点"))</f>
        <v>基准利率每调整10个基点</v>
      </c>
      <c r="P11" s="223"/>
      <c r="R11" s="16" t="str">
        <f>IF(R136&lt;&gt;0,"请填写完整","现金流量调整2")</f>
        <v>现金流量调整2</v>
      </c>
      <c r="S11" s="64">
        <f>A12</f>
        <v>42154</v>
      </c>
      <c r="T11" s="65">
        <f>IF(L2=1,G12-H12-R12,-C5+C6+C7-C10+G5+G6+G7+G8+G9)</f>
        <v>-100000000</v>
      </c>
    </row>
    <row r="12" spans="1:21" ht="15" customHeight="1">
      <c r="A12" s="57">
        <f>E10</f>
        <v>42154</v>
      </c>
      <c r="B12" s="217"/>
      <c r="C12" s="217"/>
      <c r="D12" s="217"/>
      <c r="E12" s="217"/>
      <c r="F12" s="36">
        <f>C$5-C$6+C9</f>
        <v>100000000</v>
      </c>
      <c r="G12" s="36">
        <f>-C5+C6+C7-C10+G5+G6+G7+G8+G9+H12+R12</f>
        <v>-100000000</v>
      </c>
      <c r="H12" s="56">
        <f>正常测算!H12</f>
        <v>0</v>
      </c>
      <c r="I12" s="9">
        <f>IF(A13="","",F12-$C$7-H12)</f>
        <v>100000000</v>
      </c>
      <c r="J12" s="69">
        <v>36891</v>
      </c>
      <c r="K12" s="9" t="str">
        <f>IF(M12="","",IF(B13="","",SUM($J13*(M12-A12)/(A13-A12))))</f>
        <v/>
      </c>
      <c r="L12" s="9" t="str">
        <f>IF(M12="","",IF(B13="","",SUM(R12,$G$5:$G$10,$D13*(M12-A12)/(A13-A12),$C$9,-C10)))</f>
        <v/>
      </c>
      <c r="M12" s="15" t="str">
        <f>IF(N12=N13,"",IF(A13="",A12,DATE(YEAR(A12),MONTH(J12),DAY(J12))))</f>
        <v/>
      </c>
      <c r="N12" s="30">
        <f>IF(E10="","",YEAR(A12))</f>
        <v>2015</v>
      </c>
      <c r="O12" s="48" t="str">
        <f>IF(M4=1,"租金增减金额","")</f>
        <v>租金增减金额</v>
      </c>
      <c r="P12" s="48" t="str">
        <f>IF(N4=1,"租金调整比例","")</f>
        <v/>
      </c>
      <c r="R12" s="56">
        <f>IF($H$1="人民币电汇",0,IF(OR($H$1="原币划转",$H$1="美元结汇"),产品成本表!G25,-产品成本表!E25))+正常测算!R12</f>
        <v>0</v>
      </c>
      <c r="S12" s="64">
        <f>A12</f>
        <v>42154</v>
      </c>
      <c r="T12" s="65">
        <f>IF(L2=1,-(-H12-R12),H12+R12)</f>
        <v>0</v>
      </c>
    </row>
    <row r="13" spans="1:21" ht="12.75" customHeight="1">
      <c r="A13" s="49">
        <f>正常测算!A13</f>
        <v>42338</v>
      </c>
      <c r="B13" s="50">
        <f>IF(E7="","",1)</f>
        <v>1</v>
      </c>
      <c r="C13" s="51">
        <f>正常测算!C13</f>
        <v>336112</v>
      </c>
      <c r="D13" s="51">
        <f>正常测算!D13</f>
        <v>6414035.5899999999</v>
      </c>
      <c r="E13" s="51">
        <f>IF(C5="","",IF(B13="","",IF(K2=1,ROUND($E$8,2),ROUND(C13-D13,2))))</f>
        <v>-6077923.5899999999</v>
      </c>
      <c r="F13" s="52">
        <f>IF(B13="","",F12-E13)</f>
        <v>106077923.59</v>
      </c>
      <c r="G13" s="56">
        <f>IF(C13="","",IF(L2=1,IF(SUM(C14:C$134)=0,C13-C7+C8+G10+H13+R13,C13+H13+R13),IF(SUM(C14:C134)=0,C13-C7+C8+G10+H13+R13,C13+H13+R13)))</f>
        <v>336112</v>
      </c>
      <c r="H13" s="56">
        <f>正常测算!H13</f>
        <v>0</v>
      </c>
      <c r="I13" s="9">
        <f>IF(A14="","",I12-E13-H13)</f>
        <v>106077923.59</v>
      </c>
      <c r="J13" s="9">
        <f>IF(I12="","",I12*(A13-A12)/365)</f>
        <v>50410958.90410959</v>
      </c>
      <c r="K13" s="9">
        <f>IF(M13="","",IF(B14="",SUM($J$13:$J13),SUM($J$13:$J13,$J14*(M13-A13)/(A14-A13))))</f>
        <v>59420316.798054799</v>
      </c>
      <c r="L13" s="9">
        <f>IF(M13="","",IF(B14="",SUM($D$13:$D13,$R$12:$R13,$G$5:$G$10,$C$9,-$C$10),SUM($D$13:$D13,$R$12:$R13,$G$5:$G$10,$D14*(M13-A13)/(A14-A13),$C$9,-$C$10)))</f>
        <v>7572937.5068681315</v>
      </c>
      <c r="M13" s="15">
        <f>IF(N13=N14,"",IF(A14="",A13,DATE(YEAR(A13),MONTH($J$12),DAY($J$12))))</f>
        <v>42369</v>
      </c>
      <c r="N13" s="30">
        <f t="shared" ref="N13:N76" si="3">IF(A13="","",YEAR(A13))</f>
        <v>2015</v>
      </c>
      <c r="O13" s="53">
        <f>IF(B13="","",0)</f>
        <v>0</v>
      </c>
      <c r="P13" s="54">
        <f>IF(B13="","",0)</f>
        <v>0</v>
      </c>
      <c r="Q13" s="11"/>
      <c r="R13" s="56">
        <f>IF($H$1="人民币电汇",0,IF(OR($H$1="原币划转",$H$1="美元结汇"),产品成本表!G26,IF(AND($H$1="宏明即期+远东延期支付",INT(A13-$A$12)/30&lt;7),产品成本表!G26,-产品成本表!E26)))+正常测算!R13</f>
        <v>0</v>
      </c>
      <c r="S13" s="64">
        <f>A13</f>
        <v>42338</v>
      </c>
      <c r="T13" s="65">
        <f>G13</f>
        <v>336112</v>
      </c>
      <c r="U13" s="10">
        <f>IF(J13="","",J13*IF($E$5&lt;=0.5,产品成本表!$E$3,IF($E$5&lt;=1,产品成本表!$E$4,IF($E$5&lt;=3,产品成本表!$E$5,IF($E$5&lt;=5,产品成本表!$E$6,产品成本表!$E$7)))))</f>
        <v>3024657.5342465751</v>
      </c>
    </row>
    <row r="14" spans="1:21" ht="12.75" customHeight="1">
      <c r="A14" s="49">
        <f>正常测算!A14</f>
        <v>42520</v>
      </c>
      <c r="B14" s="50">
        <f>IF($E$5*$E$7&lt;2,"",2)</f>
        <v>2</v>
      </c>
      <c r="C14" s="51">
        <f>正常测算!C14</f>
        <v>336112</v>
      </c>
      <c r="D14" s="51">
        <f>正常测算!D14</f>
        <v>6803875.7699999996</v>
      </c>
      <c r="E14" s="51">
        <f>IF(B14="","",IF($K$2=1,ROUND(E13,2),ROUND(C14-D14,2)))</f>
        <v>-6467763.7699999996</v>
      </c>
      <c r="F14" s="52">
        <f>IF(B14="","",F13-E14)</f>
        <v>112545687.36</v>
      </c>
      <c r="G14" s="56">
        <f>IF(C14="","",IF(SUM(C15:C$134)=0,C14-C$7+C$8+G$10+H14+R14,C14+H14+R14))</f>
        <v>336112</v>
      </c>
      <c r="H14" s="56">
        <f>正常测算!H14</f>
        <v>0</v>
      </c>
      <c r="I14" s="9" t="str">
        <f t="shared" ref="I14:I77" si="4">IF(A15="","",I13-E14-H14)</f>
        <v/>
      </c>
      <c r="J14" s="9">
        <f t="shared" ref="J14:J77" si="5">IF(I13="","",I13*(A14-A13)/365)</f>
        <v>52893649.570904113</v>
      </c>
      <c r="K14" s="9">
        <f>IF(M14="","",IF(B15="",SUM($J$13:$J14),SUM($J$13:$J14,$J15*(M14-A14)/(A15-A14))))</f>
        <v>103304608.4750137</v>
      </c>
      <c r="L14" s="9">
        <f>IF(M14="","",IF(B15="",SUM($D$13:$D14,$R$12:$R14,$G$5:$G$10,$C$9,-$C$10),SUM($D$13:$D14,$R$12:$R14,$G$5:$G$10,$D15*(M14-A14)/(A15-A14),$C$9,-$C$10)))</f>
        <v>13217911.359999999</v>
      </c>
      <c r="M14" s="15">
        <f t="shared" ref="M14:M77" si="6">IF(N14=N15,"",IF(A15="",A14,DATE(YEAR(A14),MONTH($J$12),DAY($J$12))))</f>
        <v>42520</v>
      </c>
      <c r="N14" s="30">
        <f t="shared" si="3"/>
        <v>2016</v>
      </c>
      <c r="O14" s="53">
        <f>IF(B14="","",IF($M$4=1,ROUND(-PMT((E$6+0.001)/E$7,(E$5*E$7-B13),F13,-C$8,0)-C14,2),0))</f>
        <v>112598726.31999999</v>
      </c>
      <c r="P14" s="55">
        <f>IF(B14="","",IF($N$4=1,ROUND(F13*0.001*DAYS360(A13,A14,1)/360/C14,6),0))</f>
        <v>0</v>
      </c>
      <c r="R14" s="56">
        <f>IF($H$1="人民币电汇",0,IF(OR($H$1="原币划转",$H$1="美元结汇"),产品成本表!G27,IF(AND($H$1="宏明即期+远东延期支付",INT(A14-$A$12)/30&lt;7),产品成本表!G27,-产品成本表!E27)))+正常测算!R14</f>
        <v>0</v>
      </c>
      <c r="S14" s="64">
        <f t="shared" ref="S14:S76" si="7">A14</f>
        <v>42520</v>
      </c>
      <c r="T14" s="65">
        <f t="shared" ref="T14:T77" si="8">G14</f>
        <v>336112</v>
      </c>
      <c r="U14" s="10">
        <f>IF(J14="","",J14*IF($E$5&lt;=0.5,产品成本表!$E$3,IF($E$5&lt;=1,产品成本表!$E$4,IF($E$5&lt;=3,产品成本表!$E$5,IF($E$5&lt;=5,产品成本表!$E$6,产品成本表!$E$7)))))</f>
        <v>3173618.9742542468</v>
      </c>
    </row>
    <row r="15" spans="1:21" ht="12.75" customHeight="1">
      <c r="A15" s="49" t="str">
        <f t="shared" ref="A15:A78" si="9">IF(B15&lt;=($E$5*$E$7),IF(DATE(YEAR(A14),MONTH(A14)+12/$E$7+1,DAY(1))-1&lt;DATE(YEAR(A14),MONTH(A14)+12/$E$7,DAY($A$12)),DATE(YEAR(A14),MONTH(A14)+12/$E$7+1,DAY(1))-1,DATE(YEAR(A14),MONTH(A14)+12/$E$7,DAY($A$12))),"")</f>
        <v/>
      </c>
      <c r="B15" s="50" t="str">
        <f>IF($E$5*$E$7&lt;3,"",3)</f>
        <v/>
      </c>
      <c r="C15" s="51" t="str">
        <f>正常测算!C15</f>
        <v/>
      </c>
      <c r="D15" s="51" t="str">
        <f>正常测算!D15</f>
        <v/>
      </c>
      <c r="E15" s="51" t="str">
        <f t="shared" ref="E15:E78" si="10">IF(B15="","",IF($K$2=1,ROUND(E14,2),ROUND(C15-D15,2)))</f>
        <v/>
      </c>
      <c r="F15" s="52" t="str">
        <f t="shared" ref="F15:F78" si="11">IF(B15="","",F14-E15)</f>
        <v/>
      </c>
      <c r="G15" s="56" t="str">
        <f>IF(C15="","",IF(SUM(C16:C$134)=0,C15-C$7+C$8+G$10+H15+R15,C15+H15+R15))</f>
        <v/>
      </c>
      <c r="H15" s="56">
        <f>正常测算!H15</f>
        <v>0</v>
      </c>
      <c r="I15" s="9" t="str">
        <f t="shared" si="4"/>
        <v/>
      </c>
      <c r="J15" s="9" t="str">
        <f t="shared" si="5"/>
        <v/>
      </c>
      <c r="K15" s="9" t="str">
        <f>IF(M15="","",IF(B16="",SUM($J$13:$J15),SUM($J$13:$J15,$J16*(M15-A15)/(A16-A15))))</f>
        <v/>
      </c>
      <c r="L15" s="9" t="str">
        <f>IF(M15="","",IF(B16="",SUM($D$13:$D15,$R$12:$R15,$G$5:$G$10,$C$9,-$C$10),SUM($D$13:$D15,$R$12:$R15,$G$5:$G$10,$D16*(M15-A15)/(A16-A15),$C$9,-$C$10)))</f>
        <v/>
      </c>
      <c r="M15" s="15" t="str">
        <f t="shared" si="6"/>
        <v/>
      </c>
      <c r="N15" s="30" t="str">
        <f t="shared" si="3"/>
        <v/>
      </c>
      <c r="O15" s="53" t="str">
        <f t="shared" ref="O15:O78" si="12">IF(B15="","",IF($M$4=1,ROUND(-PMT((E$6+0.001)/E$7,(E$5*E$7-B14),F14,-C$8,0)-C15,2),0))</f>
        <v/>
      </c>
      <c r="P15" s="55" t="str">
        <f t="shared" ref="P15:P78" si="13">IF(B15="","",IF($N$4=1,ROUND(F14*0.001*DAYS360(A14,A15,1)/360/C15,6),0))</f>
        <v/>
      </c>
      <c r="R15" s="56">
        <f>IF($H$1="人民币电汇",0,IF(OR($H$1="原币划转",$H$1="美元结汇"),产品成本表!G28,IF(AND($H$1="宏明即期+远东延期支付",INT(A15-$A$12)/30&lt;7),产品成本表!G28,-产品成本表!E28)))+正常测算!R15</f>
        <v>0</v>
      </c>
      <c r="S15" s="64" t="str">
        <f t="shared" si="7"/>
        <v/>
      </c>
      <c r="T15" s="65" t="str">
        <f t="shared" si="8"/>
        <v/>
      </c>
      <c r="U15" s="10" t="str">
        <f>IF(J15="","",J15*IF($E$5&lt;=0.5,产品成本表!$E$3,IF($E$5&lt;=1,产品成本表!$E$4,IF($E$5&lt;=3,产品成本表!$E$5,IF($E$5&lt;=5,产品成本表!$E$6,产品成本表!$E$7)))))</f>
        <v/>
      </c>
    </row>
    <row r="16" spans="1:21" ht="12.75" customHeight="1">
      <c r="A16" s="49" t="str">
        <f t="shared" si="9"/>
        <v/>
      </c>
      <c r="B16" s="50" t="str">
        <f>IF($E$5*$E$7&lt;4,"",4)</f>
        <v/>
      </c>
      <c r="C16" s="51" t="str">
        <f>正常测算!C16</f>
        <v/>
      </c>
      <c r="D16" s="51" t="str">
        <f>正常测算!D16</f>
        <v/>
      </c>
      <c r="E16" s="51" t="str">
        <f t="shared" si="10"/>
        <v/>
      </c>
      <c r="F16" s="52" t="str">
        <f t="shared" si="11"/>
        <v/>
      </c>
      <c r="G16" s="56" t="str">
        <f>IF(C16="","",IF(SUM(C17:C$134)=0,C16-C$7+C$8+G$10+H16+R16,C16+H16+R16))</f>
        <v/>
      </c>
      <c r="H16" s="56">
        <f>正常测算!H16</f>
        <v>0</v>
      </c>
      <c r="I16" s="9" t="str">
        <f>IF(A17="","",I15-E16-H16)</f>
        <v/>
      </c>
      <c r="J16" s="9" t="str">
        <f>IF(I15="","",I15*(A16-A15)/365)</f>
        <v/>
      </c>
      <c r="K16" s="9" t="str">
        <f>IF(M16="","",IF(B17="",SUM($J$13:$J16),SUM($J$13:$J16,$J17*(M16-A16)/(A17-A16))))</f>
        <v/>
      </c>
      <c r="L16" s="9" t="str">
        <f>IF(M16="","",IF(B17="",SUM($D$13:$D16,$R$12:$R16,$G$5:$G$10,$C$9,-$C$10),SUM($D$13:$D16,$R$12:$R16,$G$5:$G$10,$D17*(M16-A16)/(A17-A16),$C$9,-$C$10)))</f>
        <v/>
      </c>
      <c r="M16" s="15" t="str">
        <f t="shared" si="6"/>
        <v/>
      </c>
      <c r="N16" s="30" t="str">
        <f t="shared" si="3"/>
        <v/>
      </c>
      <c r="O16" s="53" t="str">
        <f t="shared" si="12"/>
        <v/>
      </c>
      <c r="P16" s="55" t="str">
        <f t="shared" si="13"/>
        <v/>
      </c>
      <c r="R16" s="56">
        <f>IF($H$1="人民币电汇",0,IF(OR($H$1="原币划转",$H$1="美元结汇"),产品成本表!G29,IF(AND($H$1="宏明即期+远东延期支付",INT(A16-$A$12)/30&lt;7),产品成本表!G29,-产品成本表!E29)))+正常测算!R16</f>
        <v>0</v>
      </c>
      <c r="S16" s="64" t="str">
        <f t="shared" si="7"/>
        <v/>
      </c>
      <c r="T16" s="65" t="str">
        <f t="shared" si="8"/>
        <v/>
      </c>
      <c r="U16" s="10" t="str">
        <f>IF(J16="","",J16*IF($E$5&lt;=0.5,产品成本表!$E$3,IF($E$5&lt;=1,产品成本表!$E$4,IF($E$5&lt;=3,产品成本表!$E$5,IF($E$5&lt;=5,产品成本表!$E$6,产品成本表!$E$7)))))</f>
        <v/>
      </c>
    </row>
    <row r="17" spans="1:21" ht="12.75" customHeight="1">
      <c r="A17" s="49" t="str">
        <f t="shared" si="9"/>
        <v/>
      </c>
      <c r="B17" s="50" t="str">
        <f>IF($E$5*$E$7&lt;5,"",5)</f>
        <v/>
      </c>
      <c r="C17" s="51" t="str">
        <f>正常测算!C17</f>
        <v/>
      </c>
      <c r="D17" s="51" t="str">
        <f>正常测算!D17</f>
        <v/>
      </c>
      <c r="E17" s="51" t="str">
        <f t="shared" si="10"/>
        <v/>
      </c>
      <c r="F17" s="52" t="str">
        <f t="shared" si="11"/>
        <v/>
      </c>
      <c r="G17" s="56" t="str">
        <f>IF(C17="","",IF(SUM(C18:C$134)=0,C17-C$7+C$8+G$10+H17+R17,C17+H17+R17))</f>
        <v/>
      </c>
      <c r="H17" s="56">
        <f>正常测算!H17</f>
        <v>0</v>
      </c>
      <c r="I17" s="9" t="str">
        <f t="shared" si="4"/>
        <v/>
      </c>
      <c r="J17" s="9" t="str">
        <f t="shared" si="5"/>
        <v/>
      </c>
      <c r="K17" s="9" t="str">
        <f>IF(M17="","",IF(B18="",SUM($J$13:$J17),SUM($J$13:$J17,$J18*(M17-A17)/(A18-A17))))</f>
        <v/>
      </c>
      <c r="L17" s="9" t="str">
        <f>IF(M17="","",IF(B18="",SUM($D$13:$D17,$R$12:$R17,$G$5:$G$10,$C$9,-$C$10),SUM($D$13:$D17,$R$12:$R17,$G$5:$G$10,$D18*(M17-A17)/(A18-A17),$C$9,-$C$10)))</f>
        <v/>
      </c>
      <c r="M17" s="15" t="str">
        <f t="shared" si="6"/>
        <v/>
      </c>
      <c r="N17" s="30" t="str">
        <f t="shared" si="3"/>
        <v/>
      </c>
      <c r="O17" s="53" t="str">
        <f t="shared" si="12"/>
        <v/>
      </c>
      <c r="P17" s="55" t="str">
        <f t="shared" si="13"/>
        <v/>
      </c>
      <c r="R17" s="56">
        <f>IF($H$1="人民币电汇",0,IF(OR($H$1="原币划转",$H$1="美元结汇"),产品成本表!G30,IF(AND($H$1="宏明即期+远东延期支付",INT(A17-$A$12)/30&lt;7),产品成本表!G30,-产品成本表!E30)))+正常测算!R17</f>
        <v>0</v>
      </c>
      <c r="S17" s="64" t="str">
        <f t="shared" si="7"/>
        <v/>
      </c>
      <c r="T17" s="65" t="str">
        <f t="shared" si="8"/>
        <v/>
      </c>
      <c r="U17" s="10" t="str">
        <f>IF(J17="","",J17*IF($E$5&lt;=0.5,产品成本表!$E$3,IF($E$5&lt;=1,产品成本表!$E$4,IF($E$5&lt;=3,产品成本表!$E$5,IF($E$5&lt;=5,产品成本表!$E$6,产品成本表!$E$7)))))</f>
        <v/>
      </c>
    </row>
    <row r="18" spans="1:21" ht="12.75" customHeight="1">
      <c r="A18" s="49" t="str">
        <f t="shared" si="9"/>
        <v/>
      </c>
      <c r="B18" s="50" t="str">
        <f>IF($E$5*$E$7&lt;6,"",6)</f>
        <v/>
      </c>
      <c r="C18" s="51" t="str">
        <f>正常测算!C18</f>
        <v/>
      </c>
      <c r="D18" s="51" t="str">
        <f>正常测算!D18</f>
        <v/>
      </c>
      <c r="E18" s="51" t="str">
        <f t="shared" si="10"/>
        <v/>
      </c>
      <c r="F18" s="52" t="str">
        <f t="shared" si="11"/>
        <v/>
      </c>
      <c r="G18" s="56" t="str">
        <f>IF(C18="","",IF(SUM(C19:C$134)=0,C18-C$7+C$8+G$10+H18+R18,C18+H18+R18))</f>
        <v/>
      </c>
      <c r="H18" s="56">
        <f>正常测算!H18</f>
        <v>0</v>
      </c>
      <c r="I18" s="9" t="str">
        <f t="shared" si="4"/>
        <v/>
      </c>
      <c r="J18" s="9" t="str">
        <f t="shared" si="5"/>
        <v/>
      </c>
      <c r="K18" s="9" t="str">
        <f>IF(M18="","",IF(B19="",SUM($J$13:$J18),SUM($J$13:$J18,$J19*(M18-A18)/(A19-A18))))</f>
        <v/>
      </c>
      <c r="L18" s="9" t="str">
        <f>IF(M18="","",IF(B19="",SUM($D$13:$D18,$R$12:$R18,$G$5:$G$10,$C$9,-$C$10),SUM($D$13:$D18,$R$12:$R18,$G$5:$G$10,$D19*(M18-A18)/(A19-A18),$C$9,-$C$10)))</f>
        <v/>
      </c>
      <c r="M18" s="15" t="str">
        <f t="shared" si="6"/>
        <v/>
      </c>
      <c r="N18" s="30" t="str">
        <f t="shared" si="3"/>
        <v/>
      </c>
      <c r="O18" s="53" t="str">
        <f t="shared" si="12"/>
        <v/>
      </c>
      <c r="P18" s="55" t="str">
        <f t="shared" si="13"/>
        <v/>
      </c>
      <c r="R18" s="56">
        <f>IF($H$1="人民币电汇",0,IF(OR($H$1="原币划转",$H$1="美元结汇"),产品成本表!G31,IF(AND($H$1="宏明即期+远东延期支付",INT(A18-$A$12)/30&lt;7),产品成本表!G31,-产品成本表!E31)))+正常测算!R18</f>
        <v>0</v>
      </c>
      <c r="S18" s="64" t="str">
        <f t="shared" si="7"/>
        <v/>
      </c>
      <c r="T18" s="65" t="str">
        <f t="shared" si="8"/>
        <v/>
      </c>
      <c r="U18" s="10" t="str">
        <f>IF(J18="","",J18*IF($E$5&lt;=0.5,产品成本表!$E$3,IF($E$5&lt;=1,产品成本表!$E$4,IF($E$5&lt;=3,产品成本表!$E$5,IF($E$5&lt;=5,产品成本表!$E$6,产品成本表!$E$7)))))</f>
        <v/>
      </c>
    </row>
    <row r="19" spans="1:21" ht="12.75" customHeight="1">
      <c r="A19" s="49" t="str">
        <f t="shared" si="9"/>
        <v/>
      </c>
      <c r="B19" s="50" t="str">
        <f>IF($E$5*$E$7&lt;7,"",7)</f>
        <v/>
      </c>
      <c r="C19" s="51" t="str">
        <f>正常测算!C19</f>
        <v/>
      </c>
      <c r="D19" s="51" t="str">
        <f>正常测算!D19</f>
        <v/>
      </c>
      <c r="E19" s="51" t="str">
        <f t="shared" si="10"/>
        <v/>
      </c>
      <c r="F19" s="52" t="str">
        <f t="shared" si="11"/>
        <v/>
      </c>
      <c r="G19" s="56" t="str">
        <f>IF(C19="","",IF(SUM(C20:C$134)=0,C19-C$7+C$8+G$10+H19+R19,C19+H19+R19))</f>
        <v/>
      </c>
      <c r="H19" s="56">
        <f>正常测算!H19</f>
        <v>0</v>
      </c>
      <c r="I19" s="9" t="str">
        <f t="shared" si="4"/>
        <v/>
      </c>
      <c r="J19" s="9" t="str">
        <f t="shared" si="5"/>
        <v/>
      </c>
      <c r="K19" s="9" t="str">
        <f>IF(M19="","",IF(B20="",SUM($J$13:$J19),SUM($J$13:$J19,$J20*(M19-A19)/(A20-A19))))</f>
        <v/>
      </c>
      <c r="L19" s="9" t="str">
        <f>IF(M19="","",IF(B20="",SUM($D$13:$D19,$R$12:$R19,$G$5:$G$10,$C$9,-$C$10),SUM($D$13:$D19,$R$12:$R19,$G$5:$G$10,$D20*(M19-A19)/(A20-A19),$C$9,-$C$10)))</f>
        <v/>
      </c>
      <c r="M19" s="15" t="str">
        <f t="shared" si="6"/>
        <v/>
      </c>
      <c r="N19" s="30" t="str">
        <f t="shared" si="3"/>
        <v/>
      </c>
      <c r="O19" s="53" t="str">
        <f t="shared" si="12"/>
        <v/>
      </c>
      <c r="P19" s="55" t="str">
        <f t="shared" si="13"/>
        <v/>
      </c>
      <c r="R19" s="56">
        <f>IF($H$1="人民币电汇",0,IF(OR($H$1="原币划转",$H$1="美元结汇"),产品成本表!G32,IF(AND($H$1="宏明即期+远东延期支付",INT(A19-$A$12)/30&lt;7),产品成本表!G32,-产品成本表!E32)))+正常测算!R19</f>
        <v>0</v>
      </c>
      <c r="S19" s="64" t="str">
        <f t="shared" si="7"/>
        <v/>
      </c>
      <c r="T19" s="65" t="str">
        <f t="shared" si="8"/>
        <v/>
      </c>
      <c r="U19" s="10" t="str">
        <f>IF(J19="","",J19*IF($E$5&lt;=0.5,产品成本表!$E$3,IF($E$5&lt;=1,产品成本表!$E$4,IF($E$5&lt;=3,产品成本表!$E$5,IF($E$5&lt;=5,产品成本表!$E$6,产品成本表!$E$7)))))</f>
        <v/>
      </c>
    </row>
    <row r="20" spans="1:21" ht="12.75" customHeight="1">
      <c r="A20" s="49" t="str">
        <f t="shared" si="9"/>
        <v/>
      </c>
      <c r="B20" s="50" t="str">
        <f>IF($E$5*$E$7&lt;8,"",8)</f>
        <v/>
      </c>
      <c r="C20" s="51" t="str">
        <f>正常测算!C20</f>
        <v/>
      </c>
      <c r="D20" s="51" t="str">
        <f>正常测算!D20</f>
        <v/>
      </c>
      <c r="E20" s="51" t="str">
        <f t="shared" si="10"/>
        <v/>
      </c>
      <c r="F20" s="52" t="str">
        <f t="shared" si="11"/>
        <v/>
      </c>
      <c r="G20" s="56" t="str">
        <f>IF(C20="","",IF(SUM(C21:C$134)=0,C20-C$7+C$8+G$10+H20+R20,C20+H20+R20))</f>
        <v/>
      </c>
      <c r="H20" s="56">
        <f>正常测算!H20</f>
        <v>0</v>
      </c>
      <c r="I20" s="9" t="str">
        <f t="shared" si="4"/>
        <v/>
      </c>
      <c r="J20" s="9" t="str">
        <f t="shared" si="5"/>
        <v/>
      </c>
      <c r="K20" s="9" t="str">
        <f>IF(M20="","",IF(B21="",SUM($J$13:$J20),SUM($J$13:$J20,$J21*(M20-A20)/(A21-A20))))</f>
        <v/>
      </c>
      <c r="L20" s="9" t="str">
        <f>IF(M20="","",IF(B21="",SUM($D$13:$D20,$R$12:$R20,$G$5:$G$10,$C$9,-$C$10),SUM($D$13:$D20,$R$12:$R20,$G$5:$G$10,$D21*(M20-A20)/(A21-A20),$C$9,-$C$10)))</f>
        <v/>
      </c>
      <c r="M20" s="15" t="str">
        <f t="shared" si="6"/>
        <v/>
      </c>
      <c r="N20" s="30" t="str">
        <f t="shared" si="3"/>
        <v/>
      </c>
      <c r="O20" s="53" t="str">
        <f t="shared" si="12"/>
        <v/>
      </c>
      <c r="P20" s="55" t="str">
        <f t="shared" si="13"/>
        <v/>
      </c>
      <c r="R20" s="56">
        <f>IF($H$1="人民币电汇",0,IF(OR($H$1="原币划转",$H$1="美元结汇"),产品成本表!G33,-产品成本表!E33))+正常测算!R20</f>
        <v>0</v>
      </c>
      <c r="S20" s="64" t="str">
        <f t="shared" si="7"/>
        <v/>
      </c>
      <c r="T20" s="65" t="str">
        <f t="shared" si="8"/>
        <v/>
      </c>
      <c r="U20" s="10" t="str">
        <f>IF(J20="","",J20*IF($E$5&lt;=0.5,产品成本表!$E$3,IF($E$5&lt;=1,产品成本表!$E$4,IF($E$5&lt;=3,产品成本表!$E$5,IF($E$5&lt;=5,产品成本表!$E$6,产品成本表!$E$7)))))</f>
        <v/>
      </c>
    </row>
    <row r="21" spans="1:21" ht="12.75" customHeight="1">
      <c r="A21" s="49" t="str">
        <f t="shared" si="9"/>
        <v/>
      </c>
      <c r="B21" s="50" t="str">
        <f>IF($E$5*$E$7&lt;9,"",9)</f>
        <v/>
      </c>
      <c r="C21" s="51" t="str">
        <f>正常测算!C21</f>
        <v/>
      </c>
      <c r="D21" s="51" t="str">
        <f>正常测算!D21</f>
        <v/>
      </c>
      <c r="E21" s="51" t="str">
        <f t="shared" si="10"/>
        <v/>
      </c>
      <c r="F21" s="52" t="str">
        <f t="shared" si="11"/>
        <v/>
      </c>
      <c r="G21" s="56" t="str">
        <f>IF(C21="","",IF(SUM(C22:C$134)=0,C21-C$7+C$8+G$10+H21+R21,C21+H21+R21))</f>
        <v/>
      </c>
      <c r="H21" s="56">
        <f>正常测算!H21</f>
        <v>0</v>
      </c>
      <c r="I21" s="9" t="str">
        <f t="shared" si="4"/>
        <v/>
      </c>
      <c r="J21" s="9" t="str">
        <f t="shared" si="5"/>
        <v/>
      </c>
      <c r="K21" s="9" t="str">
        <f>IF(M21="","",IF(B22="",SUM($J$13:$J21),SUM($J$13:$J21,$J22*(M21-A21)/(A22-A21))))</f>
        <v/>
      </c>
      <c r="L21" s="9" t="str">
        <f>IF(M21="","",IF(B22="",SUM($D$13:$D21,$R$12:$R21,$G$5:$G$10,$C$9,-$C$10),SUM($D$13:$D21,$R$12:$R21,$G$5:$G$10,$D22*(M21-A21)/(A22-A21),$C$9,-$C$10)))</f>
        <v/>
      </c>
      <c r="M21" s="15" t="str">
        <f t="shared" si="6"/>
        <v/>
      </c>
      <c r="N21" s="30" t="str">
        <f t="shared" si="3"/>
        <v/>
      </c>
      <c r="O21" s="53" t="str">
        <f t="shared" si="12"/>
        <v/>
      </c>
      <c r="P21" s="55" t="str">
        <f t="shared" si="13"/>
        <v/>
      </c>
      <c r="R21" s="56">
        <f>IF($H$1="人民币电汇",0,IF(OR($H$1="原币划转",$H$1="美元结汇"),产品成本表!G34,-产品成本表!E34))+正常测算!R21</f>
        <v>0</v>
      </c>
      <c r="S21" s="64" t="str">
        <f t="shared" si="7"/>
        <v/>
      </c>
      <c r="T21" s="65" t="str">
        <f t="shared" si="8"/>
        <v/>
      </c>
      <c r="U21" s="10" t="str">
        <f>IF(J21="","",J21*IF($E$5&lt;=0.5,产品成本表!$E$3,IF($E$5&lt;=1,产品成本表!$E$4,IF($E$5&lt;=3,产品成本表!$E$5,IF($E$5&lt;=5,产品成本表!$E$6,产品成本表!$E$7)))))</f>
        <v/>
      </c>
    </row>
    <row r="22" spans="1:21" ht="12.75" customHeight="1">
      <c r="A22" s="49" t="str">
        <f t="shared" si="9"/>
        <v/>
      </c>
      <c r="B22" s="50" t="str">
        <f>IF($E$5*$E$7&lt;10,"",10)</f>
        <v/>
      </c>
      <c r="C22" s="51" t="str">
        <f>正常测算!C22</f>
        <v/>
      </c>
      <c r="D22" s="51" t="str">
        <f>正常测算!D22</f>
        <v/>
      </c>
      <c r="E22" s="51" t="str">
        <f t="shared" si="10"/>
        <v/>
      </c>
      <c r="F22" s="52" t="str">
        <f t="shared" si="11"/>
        <v/>
      </c>
      <c r="G22" s="56" t="str">
        <f>IF(C22="","",IF(SUM(C23:C$134)=0,C22-C$7+C$8+G$10+H22+R22,C22+H22+R22))</f>
        <v/>
      </c>
      <c r="H22" s="56">
        <f>正常测算!H22</f>
        <v>0</v>
      </c>
      <c r="I22" s="9" t="str">
        <f t="shared" si="4"/>
        <v/>
      </c>
      <c r="J22" s="9" t="str">
        <f t="shared" si="5"/>
        <v/>
      </c>
      <c r="K22" s="9" t="str">
        <f>IF(M22="","",IF(B23="",SUM($J$13:$J22),SUM($J$13:$J22,$J23*(M22-A22)/(A23-A22))))</f>
        <v/>
      </c>
      <c r="L22" s="9" t="str">
        <f>IF(M22="","",IF(B23="",SUM($D$13:$D22,$R$12:$R22,$G$5:$G$10,$C$9,-$C$10),SUM($D$13:$D22,$R$12:$R22,$G$5:$G$10,$D23*(M22-A22)/(A23-A22),$C$9,-$C$10)))</f>
        <v/>
      </c>
      <c r="M22" s="15" t="str">
        <f t="shared" si="6"/>
        <v/>
      </c>
      <c r="N22" s="30" t="str">
        <f t="shared" si="3"/>
        <v/>
      </c>
      <c r="O22" s="53" t="str">
        <f t="shared" si="12"/>
        <v/>
      </c>
      <c r="P22" s="55" t="str">
        <f t="shared" si="13"/>
        <v/>
      </c>
      <c r="R22" s="56">
        <f>IF($H$1="人民币电汇",0,IF(OR($H$1="原币划转",$H$1="美元结汇"),产品成本表!G35,-产品成本表!E35))+正常测算!R22</f>
        <v>0</v>
      </c>
      <c r="S22" s="64" t="str">
        <f t="shared" si="7"/>
        <v/>
      </c>
      <c r="T22" s="65" t="str">
        <f t="shared" si="8"/>
        <v/>
      </c>
      <c r="U22" s="10" t="str">
        <f>IF(J22="","",J22*IF($E$5&lt;=0.5,产品成本表!$E$3,IF($E$5&lt;=1,产品成本表!$E$4,IF($E$5&lt;=3,产品成本表!$E$5,IF($E$5&lt;=5,产品成本表!$E$6,产品成本表!$E$7)))))</f>
        <v/>
      </c>
    </row>
    <row r="23" spans="1:21" ht="12.75" customHeight="1">
      <c r="A23" s="49" t="str">
        <f t="shared" si="9"/>
        <v/>
      </c>
      <c r="B23" s="50" t="str">
        <f>IF($E$5*$E$7&lt;11,"",11)</f>
        <v/>
      </c>
      <c r="C23" s="51" t="str">
        <f>正常测算!C23</f>
        <v/>
      </c>
      <c r="D23" s="51" t="str">
        <f>正常测算!D23</f>
        <v/>
      </c>
      <c r="E23" s="51" t="str">
        <f t="shared" si="10"/>
        <v/>
      </c>
      <c r="F23" s="52" t="str">
        <f t="shared" si="11"/>
        <v/>
      </c>
      <c r="G23" s="56" t="str">
        <f>IF(C23="","",IF(SUM(C24:C$134)=0,C23-C$7+C$8+G$10+H23+R23,C23+H23+R23))</f>
        <v/>
      </c>
      <c r="H23" s="56">
        <f>正常测算!H23</f>
        <v>0</v>
      </c>
      <c r="I23" s="9" t="str">
        <f t="shared" si="4"/>
        <v/>
      </c>
      <c r="J23" s="9" t="str">
        <f t="shared" si="5"/>
        <v/>
      </c>
      <c r="K23" s="9" t="str">
        <f>IF(M23="","",IF(B24="",SUM($J$13:$J23),SUM($J$13:$J23,$J24*(M23-A23)/(A24-A23))))</f>
        <v/>
      </c>
      <c r="L23" s="9" t="str">
        <f>IF(M23="","",IF(B24="",SUM($D$13:$D23,$R$12:$R23,$G$5:$G$10,$C$9,-$C$10),SUM($D$13:$D23,$R$12:$R23,$G$5:$G$10,$D24*(M23-A23)/(A24-A23),$C$9,-$C$10)))</f>
        <v/>
      </c>
      <c r="M23" s="15" t="str">
        <f t="shared" si="6"/>
        <v/>
      </c>
      <c r="N23" s="30" t="str">
        <f t="shared" si="3"/>
        <v/>
      </c>
      <c r="O23" s="53" t="str">
        <f t="shared" si="12"/>
        <v/>
      </c>
      <c r="P23" s="55" t="str">
        <f t="shared" si="13"/>
        <v/>
      </c>
      <c r="R23" s="56">
        <f>IF($H$1="人民币电汇",0,IF(OR($H$1="原币划转",$H$1="美元结汇"),产品成本表!G36,-产品成本表!E36))+正常测算!R23</f>
        <v>0</v>
      </c>
      <c r="S23" s="64" t="str">
        <f t="shared" si="7"/>
        <v/>
      </c>
      <c r="T23" s="65" t="str">
        <f t="shared" si="8"/>
        <v/>
      </c>
      <c r="U23" s="10" t="str">
        <f>IF(J23="","",J23*IF($E$5&lt;=0.5,产品成本表!$E$3,IF($E$5&lt;=1,产品成本表!$E$4,IF($E$5&lt;=3,产品成本表!$E$5,IF($E$5&lt;=5,产品成本表!$E$6,产品成本表!$E$7)))))</f>
        <v/>
      </c>
    </row>
    <row r="24" spans="1:21" ht="12.75" customHeight="1">
      <c r="A24" s="49" t="str">
        <f t="shared" si="9"/>
        <v/>
      </c>
      <c r="B24" s="50" t="str">
        <f>IF($E$5*$E$7&lt;12,"",12)</f>
        <v/>
      </c>
      <c r="C24" s="51" t="str">
        <f>正常测算!C24</f>
        <v/>
      </c>
      <c r="D24" s="51" t="str">
        <f>正常测算!D24</f>
        <v/>
      </c>
      <c r="E24" s="51" t="str">
        <f t="shared" si="10"/>
        <v/>
      </c>
      <c r="F24" s="52" t="str">
        <f t="shared" si="11"/>
        <v/>
      </c>
      <c r="G24" s="56" t="str">
        <f>IF(C24="","",IF(SUM(C25:C$134)=0,C24-C$7+C$8+G$10+H24+R24,C24+H24+R24))</f>
        <v/>
      </c>
      <c r="H24" s="56">
        <f>正常测算!H24</f>
        <v>0</v>
      </c>
      <c r="I24" s="9" t="str">
        <f t="shared" si="4"/>
        <v/>
      </c>
      <c r="J24" s="9" t="str">
        <f t="shared" si="5"/>
        <v/>
      </c>
      <c r="K24" s="9" t="str">
        <f>IF(M24="","",IF(B25="",SUM($J$13:$J24),SUM($J$13:$J24,$J25*(M24-A24)/(A25-A24))))</f>
        <v/>
      </c>
      <c r="L24" s="9" t="str">
        <f>IF(M24="","",IF(B25="",SUM($D$13:$D24,$R$12:$R24,$G$5:$G$10,$C$9,-$C$10),SUM($D$13:$D24,$R$12:$R24,$G$5:$G$10,$D25*(M24-A24)/(A25-A24),$C$9,-$C$10)))</f>
        <v/>
      </c>
      <c r="M24" s="15" t="str">
        <f t="shared" si="6"/>
        <v/>
      </c>
      <c r="N24" s="30" t="str">
        <f t="shared" si="3"/>
        <v/>
      </c>
      <c r="O24" s="53" t="str">
        <f t="shared" si="12"/>
        <v/>
      </c>
      <c r="P24" s="55" t="str">
        <f t="shared" si="13"/>
        <v/>
      </c>
      <c r="R24" s="56">
        <f>IF($H$1="人民币电汇",0,IF(OR($H$1="原币划转",$H$1="美元结汇"),产品成本表!G37,-产品成本表!E37))+正常测算!R24</f>
        <v>0</v>
      </c>
      <c r="S24" s="64" t="str">
        <f t="shared" si="7"/>
        <v/>
      </c>
      <c r="T24" s="65" t="str">
        <f t="shared" si="8"/>
        <v/>
      </c>
      <c r="U24" s="10" t="str">
        <f>IF(J24="","",J24*IF($E$5&lt;=0.5,产品成本表!$E$3,IF($E$5&lt;=1,产品成本表!$E$4,IF($E$5&lt;=3,产品成本表!$E$5,IF($E$5&lt;=5,产品成本表!$E$6,产品成本表!$E$7)))))</f>
        <v/>
      </c>
    </row>
    <row r="25" spans="1:21" ht="12.75" customHeight="1">
      <c r="A25" s="49" t="str">
        <f t="shared" si="9"/>
        <v/>
      </c>
      <c r="B25" s="50" t="str">
        <f>IF($E$5*$E$7&lt;13,"",13)</f>
        <v/>
      </c>
      <c r="C25" s="51" t="str">
        <f>正常测算!C25</f>
        <v/>
      </c>
      <c r="D25" s="51" t="str">
        <f>正常测算!D25</f>
        <v/>
      </c>
      <c r="E25" s="51" t="str">
        <f t="shared" si="10"/>
        <v/>
      </c>
      <c r="F25" s="52" t="str">
        <f t="shared" si="11"/>
        <v/>
      </c>
      <c r="G25" s="56" t="str">
        <f>IF(C25="","",IF(SUM(C26:C$134)=0,C25-C$7+C$8+G$10+H25+R25,C25+H25+R25))</f>
        <v/>
      </c>
      <c r="H25" s="56">
        <f>正常测算!H25</f>
        <v>0</v>
      </c>
      <c r="I25" s="9" t="str">
        <f t="shared" si="4"/>
        <v/>
      </c>
      <c r="J25" s="9" t="str">
        <f t="shared" si="5"/>
        <v/>
      </c>
      <c r="K25" s="9" t="str">
        <f>IF(M25="","",IF(B26="",SUM($J$13:$J25),SUM($J$13:$J25,$J26*(M25-A25)/(A26-A25))))</f>
        <v/>
      </c>
      <c r="L25" s="9" t="str">
        <f>IF(M25="","",IF(B26="",SUM($D$13:$D25,$R$12:$R25,$G$5:$G$10,$C$9,-$C$10),SUM($D$13:$D25,$R$12:$R25,$G$5:$G$10,$D26*(M25-A25)/(A26-A25),$C$9,-$C$10)))</f>
        <v/>
      </c>
      <c r="M25" s="15" t="str">
        <f t="shared" si="6"/>
        <v/>
      </c>
      <c r="N25" s="30" t="str">
        <f t="shared" si="3"/>
        <v/>
      </c>
      <c r="O25" s="53" t="str">
        <f t="shared" si="12"/>
        <v/>
      </c>
      <c r="P25" s="55" t="str">
        <f t="shared" si="13"/>
        <v/>
      </c>
      <c r="R25" s="56">
        <f>IF($H$1="人民币电汇",0,IF(OR($H$1="原币划转",$H$1="美元结汇"),产品成本表!G38,-产品成本表!E38))+正常测算!R25</f>
        <v>0</v>
      </c>
      <c r="S25" s="64" t="str">
        <f t="shared" si="7"/>
        <v/>
      </c>
      <c r="T25" s="65" t="str">
        <f t="shared" si="8"/>
        <v/>
      </c>
      <c r="U25" s="10" t="str">
        <f>IF(J25="","",J25*IF($E$5&lt;=0.5,产品成本表!$E$3,IF($E$5&lt;=1,产品成本表!$E$4,IF($E$5&lt;=3,产品成本表!$E$5,IF($E$5&lt;=5,产品成本表!$E$6,产品成本表!$E$7)))))</f>
        <v/>
      </c>
    </row>
    <row r="26" spans="1:21" ht="12.75" customHeight="1">
      <c r="A26" s="49" t="str">
        <f t="shared" si="9"/>
        <v/>
      </c>
      <c r="B26" s="50" t="str">
        <f>IF($E$5*$E$7&lt;14,"",14)</f>
        <v/>
      </c>
      <c r="C26" s="51" t="str">
        <f>正常测算!C26</f>
        <v/>
      </c>
      <c r="D26" s="51" t="str">
        <f>正常测算!D26</f>
        <v/>
      </c>
      <c r="E26" s="51" t="str">
        <f t="shared" si="10"/>
        <v/>
      </c>
      <c r="F26" s="52" t="str">
        <f t="shared" si="11"/>
        <v/>
      </c>
      <c r="G26" s="56" t="str">
        <f>IF(C26="","",IF(SUM(C27:C$134)=0,C26-C$7+C$8+G$10+H26+R26,C26+H26+R26))</f>
        <v/>
      </c>
      <c r="H26" s="56">
        <f>正常测算!H26</f>
        <v>0</v>
      </c>
      <c r="I26" s="9" t="str">
        <f t="shared" si="4"/>
        <v/>
      </c>
      <c r="J26" s="9" t="str">
        <f t="shared" si="5"/>
        <v/>
      </c>
      <c r="K26" s="9" t="str">
        <f>IF(M26="","",IF(B27="",SUM($J$13:$J26),SUM($J$13:$J26,$J27*(M26-A26)/(A27-A26))))</f>
        <v/>
      </c>
      <c r="L26" s="9" t="str">
        <f>IF(M26="","",IF(B27="",SUM($D$13:$D26,$R$12:$R26,$G$5:$G$10,$C$9,-$C$10),SUM($D$13:$D26,$R$12:$R26,$G$5:$G$10,$D27*(M26-A26)/(A27-A26),$C$9,-$C$10)))</f>
        <v/>
      </c>
      <c r="M26" s="15" t="str">
        <f t="shared" si="6"/>
        <v/>
      </c>
      <c r="N26" s="30" t="str">
        <f t="shared" si="3"/>
        <v/>
      </c>
      <c r="O26" s="53" t="str">
        <f t="shared" si="12"/>
        <v/>
      </c>
      <c r="P26" s="55" t="str">
        <f t="shared" si="13"/>
        <v/>
      </c>
      <c r="R26" s="56">
        <f>IF($H$1="人民币电汇",0,IF(OR($H$1="原币划转",$H$1="美元结汇"),产品成本表!G39,-产品成本表!E39))+正常测算!R26</f>
        <v>0</v>
      </c>
      <c r="S26" s="64" t="str">
        <f t="shared" si="7"/>
        <v/>
      </c>
      <c r="T26" s="65" t="str">
        <f t="shared" si="8"/>
        <v/>
      </c>
      <c r="U26" s="10" t="str">
        <f>IF(J26="","",J26*IF($E$5&lt;=0.5,产品成本表!$E$3,IF($E$5&lt;=1,产品成本表!$E$4,IF($E$5&lt;=3,产品成本表!$E$5,IF($E$5&lt;=5,产品成本表!$E$6,产品成本表!$E$7)))))</f>
        <v/>
      </c>
    </row>
    <row r="27" spans="1:21" ht="12.75" customHeight="1">
      <c r="A27" s="49" t="str">
        <f t="shared" si="9"/>
        <v/>
      </c>
      <c r="B27" s="50" t="str">
        <f>IF($E$5*$E$7&lt;15,"",15)</f>
        <v/>
      </c>
      <c r="C27" s="51" t="str">
        <f>正常测算!C27</f>
        <v/>
      </c>
      <c r="D27" s="51" t="str">
        <f>正常测算!D27</f>
        <v/>
      </c>
      <c r="E27" s="51" t="str">
        <f t="shared" si="10"/>
        <v/>
      </c>
      <c r="F27" s="52" t="str">
        <f t="shared" si="11"/>
        <v/>
      </c>
      <c r="G27" s="56" t="str">
        <f>IF(C27="","",IF(SUM(C28:C$134)=0,C27-C$7+C$8+G$10+H27+R27,C27+H27+R27))</f>
        <v/>
      </c>
      <c r="H27" s="56">
        <f>正常测算!H27</f>
        <v>0</v>
      </c>
      <c r="I27" s="9" t="str">
        <f t="shared" si="4"/>
        <v/>
      </c>
      <c r="J27" s="9" t="str">
        <f t="shared" si="5"/>
        <v/>
      </c>
      <c r="K27" s="9" t="str">
        <f>IF(M27="","",IF(B28="",SUM($J$13:$J27),SUM($J$13:$J27,$J28*(M27-A27)/(A28-A27))))</f>
        <v/>
      </c>
      <c r="L27" s="9" t="str">
        <f>IF(M27="","",IF(B28="",SUM($D$13:$D27,$R$12:$R27,$G$5:$G$10,$C$9,-$C$10),SUM($D$13:$D27,$R$12:$R27,$G$5:$G$10,$D28*(M27-A27)/(A28-A27),$C$9,-$C$10)))</f>
        <v/>
      </c>
      <c r="M27" s="15" t="str">
        <f t="shared" si="6"/>
        <v/>
      </c>
      <c r="N27" s="30" t="str">
        <f t="shared" si="3"/>
        <v/>
      </c>
      <c r="O27" s="53" t="str">
        <f t="shared" si="12"/>
        <v/>
      </c>
      <c r="P27" s="55" t="str">
        <f t="shared" si="13"/>
        <v/>
      </c>
      <c r="R27" s="56">
        <f>IF($H$1="人民币电汇",0,IF(OR($H$1="原币划转",$H$1="美元结汇"),产品成本表!G40,-产品成本表!E40))+正常测算!R27</f>
        <v>0</v>
      </c>
      <c r="S27" s="64" t="str">
        <f t="shared" si="7"/>
        <v/>
      </c>
      <c r="T27" s="65" t="str">
        <f t="shared" si="8"/>
        <v/>
      </c>
      <c r="U27" s="10" t="str">
        <f>IF(J27="","",J27*IF($E$5&lt;=0.5,产品成本表!$E$3,IF($E$5&lt;=1,产品成本表!$E$4,IF($E$5&lt;=3,产品成本表!$E$5,IF($E$5&lt;=5,产品成本表!$E$6,产品成本表!$E$7)))))</f>
        <v/>
      </c>
    </row>
    <row r="28" spans="1:21">
      <c r="A28" s="49" t="str">
        <f t="shared" si="9"/>
        <v/>
      </c>
      <c r="B28" s="50" t="str">
        <f>IF($E$5*$E$7&lt;16,"",16)</f>
        <v/>
      </c>
      <c r="C28" s="51" t="str">
        <f>正常测算!C28</f>
        <v/>
      </c>
      <c r="D28" s="51" t="str">
        <f>正常测算!D28</f>
        <v/>
      </c>
      <c r="E28" s="51" t="str">
        <f t="shared" si="10"/>
        <v/>
      </c>
      <c r="F28" s="52" t="str">
        <f t="shared" si="11"/>
        <v/>
      </c>
      <c r="G28" s="56" t="str">
        <f>IF(C28="","",IF(SUM(C29:C$134)=0,C28-C$7+C$8+G$10+H28+R28,C28+H28+R28))</f>
        <v/>
      </c>
      <c r="H28" s="56">
        <f>正常测算!H28</f>
        <v>0</v>
      </c>
      <c r="I28" s="9" t="str">
        <f t="shared" si="4"/>
        <v/>
      </c>
      <c r="J28" s="9" t="str">
        <f t="shared" si="5"/>
        <v/>
      </c>
      <c r="K28" s="9" t="str">
        <f>IF(M28="","",IF(B29="",SUM($J$13:$J28),SUM($J$13:$J28,$J29*(M28-A28)/(A29-A28))))</f>
        <v/>
      </c>
      <c r="L28" s="9" t="str">
        <f>IF(M28="","",IF(B29="",SUM($D$13:$D28,$R$12:$R28,$G$5:$G$10,$C$9,-$C$10),SUM($D$13:$D28,$R$12:$R28,$G$5:$G$10,$D29*(M28-A28)/(A29-A28),$C$9,-$C$10)))</f>
        <v/>
      </c>
      <c r="M28" s="15" t="str">
        <f t="shared" si="6"/>
        <v/>
      </c>
      <c r="N28" s="30" t="str">
        <f t="shared" si="3"/>
        <v/>
      </c>
      <c r="O28" s="53" t="str">
        <f t="shared" si="12"/>
        <v/>
      </c>
      <c r="P28" s="55" t="str">
        <f t="shared" si="13"/>
        <v/>
      </c>
      <c r="R28" s="56">
        <f>IF($H$1="人民币电汇",0,IF(OR($H$1="原币划转",$H$1="美元结汇"),产品成本表!G41,-产品成本表!E41))+正常测算!R28</f>
        <v>0</v>
      </c>
      <c r="S28" s="64" t="str">
        <f t="shared" si="7"/>
        <v/>
      </c>
      <c r="T28" s="65" t="str">
        <f t="shared" si="8"/>
        <v/>
      </c>
      <c r="U28" s="10" t="str">
        <f>IF(J28="","",J28*IF($E$5&lt;=0.5,产品成本表!$E$3,IF($E$5&lt;=1,产品成本表!$E$4,IF($E$5&lt;=3,产品成本表!$E$5,IF($E$5&lt;=5,产品成本表!$E$6,产品成本表!$E$7)))))</f>
        <v/>
      </c>
    </row>
    <row r="29" spans="1:21">
      <c r="A29" s="49" t="str">
        <f t="shared" si="9"/>
        <v/>
      </c>
      <c r="B29" s="50" t="str">
        <f>IF($E$5*$E$7&lt;17,"",17)</f>
        <v/>
      </c>
      <c r="C29" s="51" t="str">
        <f>正常测算!C29</f>
        <v/>
      </c>
      <c r="D29" s="51" t="str">
        <f>正常测算!D29</f>
        <v/>
      </c>
      <c r="E29" s="51" t="str">
        <f t="shared" si="10"/>
        <v/>
      </c>
      <c r="F29" s="52" t="str">
        <f t="shared" si="11"/>
        <v/>
      </c>
      <c r="G29" s="56" t="str">
        <f>IF(C29="","",IF(SUM(C30:C$134)=0,C29-C$7+C$8+G$10+H29+R29,C29+H29+R29))</f>
        <v/>
      </c>
      <c r="H29" s="56">
        <f>正常测算!H29</f>
        <v>0</v>
      </c>
      <c r="I29" s="9" t="str">
        <f t="shared" si="4"/>
        <v/>
      </c>
      <c r="J29" s="9" t="str">
        <f t="shared" si="5"/>
        <v/>
      </c>
      <c r="K29" s="9" t="str">
        <f>IF(M29="","",IF(B30="",SUM($J$13:$J29),SUM($J$13:$J29,$J30*(M29-A29)/(A30-A29))))</f>
        <v/>
      </c>
      <c r="L29" s="9" t="str">
        <f>IF(M29="","",IF(B30="",SUM($D$13:$D29,$R$12:$R29,$G$5:$G$10,$C$9,-$C$10),SUM($D$13:$D29,$R$12:$R29,$G$5:$G$10,$D30*(M29-A29)/(A30-A29),$C$9,-$C$10)))</f>
        <v/>
      </c>
      <c r="M29" s="15" t="str">
        <f t="shared" si="6"/>
        <v/>
      </c>
      <c r="N29" s="30" t="str">
        <f t="shared" si="3"/>
        <v/>
      </c>
      <c r="O29" s="53" t="str">
        <f t="shared" si="12"/>
        <v/>
      </c>
      <c r="P29" s="55" t="str">
        <f t="shared" si="13"/>
        <v/>
      </c>
      <c r="R29" s="56">
        <f>IF($H$1="人民币电汇",0,IF(OR($H$1="原币划转",$H$1="美元结汇"),产品成本表!G42,-产品成本表!E42))+正常测算!R29</f>
        <v>0</v>
      </c>
      <c r="S29" s="64" t="str">
        <f t="shared" si="7"/>
        <v/>
      </c>
      <c r="T29" s="65" t="str">
        <f t="shared" si="8"/>
        <v/>
      </c>
      <c r="U29" s="10" t="str">
        <f>IF(J29="","",J29*IF($E$5&lt;=0.5,产品成本表!$E$3,IF($E$5&lt;=1,产品成本表!$E$4,IF($E$5&lt;=3,产品成本表!$E$5,IF($E$5&lt;=5,产品成本表!$E$6,产品成本表!$E$7)))))</f>
        <v/>
      </c>
    </row>
    <row r="30" spans="1:21">
      <c r="A30" s="49" t="str">
        <f t="shared" si="9"/>
        <v/>
      </c>
      <c r="B30" s="50" t="str">
        <f>IF($E$5*$E$7&lt;18,"",18)</f>
        <v/>
      </c>
      <c r="C30" s="51" t="str">
        <f>正常测算!C30</f>
        <v/>
      </c>
      <c r="D30" s="51" t="str">
        <f>正常测算!D30</f>
        <v/>
      </c>
      <c r="E30" s="51" t="str">
        <f t="shared" si="10"/>
        <v/>
      </c>
      <c r="F30" s="52" t="str">
        <f t="shared" si="11"/>
        <v/>
      </c>
      <c r="G30" s="56" t="str">
        <f>IF(C30="","",IF(SUM(C31:C$134)=0,C30-C$7+C$8+G$10+H30+R30,C30+H30+R30))</f>
        <v/>
      </c>
      <c r="H30" s="56">
        <f>正常测算!H30</f>
        <v>0</v>
      </c>
      <c r="I30" s="9" t="str">
        <f t="shared" si="4"/>
        <v/>
      </c>
      <c r="J30" s="9" t="str">
        <f t="shared" si="5"/>
        <v/>
      </c>
      <c r="K30" s="9" t="str">
        <f>IF(M30="","",IF(B31="",SUM($J$13:$J30),SUM($J$13:$J30,$J31*(M30-A30)/(A31-A30))))</f>
        <v/>
      </c>
      <c r="L30" s="9" t="str">
        <f>IF(M30="","",IF(B31="",SUM($D$13:$D30,$R$12:$R30,$G$5:$G$10,$C$9,-$C$10),SUM($D$13:$D30,$R$12:$R30,$G$5:$G$10,$D31*(M30-A30)/(A31-A30),$C$9,-$C$10)))</f>
        <v/>
      </c>
      <c r="M30" s="15" t="str">
        <f t="shared" si="6"/>
        <v/>
      </c>
      <c r="N30" s="30" t="str">
        <f t="shared" si="3"/>
        <v/>
      </c>
      <c r="O30" s="53" t="str">
        <f t="shared" si="12"/>
        <v/>
      </c>
      <c r="P30" s="55" t="str">
        <f t="shared" si="13"/>
        <v/>
      </c>
      <c r="R30" s="56">
        <f>IF($H$1="人民币电汇",0,IF(OR($H$1="原币划转",$H$1="美元结汇"),产品成本表!G43,-产品成本表!E43))+正常测算!R30</f>
        <v>0</v>
      </c>
      <c r="S30" s="64" t="str">
        <f t="shared" si="7"/>
        <v/>
      </c>
      <c r="T30" s="65" t="str">
        <f t="shared" si="8"/>
        <v/>
      </c>
      <c r="U30" s="10" t="str">
        <f>IF(J30="","",J30*IF($E$5&lt;=0.5,产品成本表!$E$3,IF($E$5&lt;=1,产品成本表!$E$4,IF($E$5&lt;=3,产品成本表!$E$5,IF($E$5&lt;=5,产品成本表!$E$6,产品成本表!$E$7)))))</f>
        <v/>
      </c>
    </row>
    <row r="31" spans="1:21">
      <c r="A31" s="49" t="str">
        <f t="shared" si="9"/>
        <v/>
      </c>
      <c r="B31" s="50" t="str">
        <f>IF($E$5*$E$7&lt;19,"",19)</f>
        <v/>
      </c>
      <c r="C31" s="51" t="str">
        <f>正常测算!C31</f>
        <v/>
      </c>
      <c r="D31" s="51" t="str">
        <f>正常测算!D31</f>
        <v/>
      </c>
      <c r="E31" s="51" t="str">
        <f t="shared" si="10"/>
        <v/>
      </c>
      <c r="F31" s="52" t="str">
        <f t="shared" si="11"/>
        <v/>
      </c>
      <c r="G31" s="56" t="str">
        <f>IF(C31="","",IF(SUM(C32:C$134)=0,C31-C$7+C$8+G$10+H31+R31,C31+H31+R31))</f>
        <v/>
      </c>
      <c r="H31" s="56">
        <f>正常测算!H31</f>
        <v>0</v>
      </c>
      <c r="I31" s="9" t="str">
        <f t="shared" si="4"/>
        <v/>
      </c>
      <c r="J31" s="9" t="str">
        <f t="shared" si="5"/>
        <v/>
      </c>
      <c r="K31" s="9" t="str">
        <f>IF(M31="","",IF(B32="",SUM($J$13:$J31),SUM($J$13:$J31,$J32*(M31-A31)/(A32-A31))))</f>
        <v/>
      </c>
      <c r="L31" s="9" t="str">
        <f>IF(M31="","",IF(B32="",SUM($D$13:$D31,$R$12:$R31,$G$5:$G$10,$C$9,-$C$10),SUM($D$13:$D31,$R$12:$R31,$G$5:$G$10,$D32*(M31-A31)/(A32-A31),$C$9,-$C$10)))</f>
        <v/>
      </c>
      <c r="M31" s="15" t="str">
        <f t="shared" si="6"/>
        <v/>
      </c>
      <c r="N31" s="30" t="str">
        <f t="shared" si="3"/>
        <v/>
      </c>
      <c r="O31" s="53" t="str">
        <f t="shared" si="12"/>
        <v/>
      </c>
      <c r="P31" s="55" t="str">
        <f t="shared" si="13"/>
        <v/>
      </c>
      <c r="R31" s="56">
        <f>IF($H$1="人民币电汇",0,IF(OR($H$1="原币划转",$H$1="美元结汇"),产品成本表!G44,-产品成本表!E44))+正常测算!R31</f>
        <v>0</v>
      </c>
      <c r="S31" s="64" t="str">
        <f t="shared" si="7"/>
        <v/>
      </c>
      <c r="T31" s="65" t="str">
        <f t="shared" si="8"/>
        <v/>
      </c>
      <c r="U31" s="10" t="str">
        <f>IF(J31="","",J31*IF($E$5&lt;=0.5,产品成本表!$E$3,IF($E$5&lt;=1,产品成本表!$E$4,IF($E$5&lt;=3,产品成本表!$E$5,IF($E$5&lt;=5,产品成本表!$E$6,产品成本表!$E$7)))))</f>
        <v/>
      </c>
    </row>
    <row r="32" spans="1:21">
      <c r="A32" s="49" t="str">
        <f t="shared" si="9"/>
        <v/>
      </c>
      <c r="B32" s="50" t="str">
        <f>IF($E$5*$E$7&lt;20,"",20)</f>
        <v/>
      </c>
      <c r="C32" s="51" t="str">
        <f>正常测算!C32</f>
        <v/>
      </c>
      <c r="D32" s="51" t="str">
        <f>正常测算!D32</f>
        <v/>
      </c>
      <c r="E32" s="51" t="str">
        <f t="shared" si="10"/>
        <v/>
      </c>
      <c r="F32" s="52" t="str">
        <f t="shared" si="11"/>
        <v/>
      </c>
      <c r="G32" s="56" t="str">
        <f>IF(C32="","",IF(SUM(C33:C$134)=0,C32-C$7+C$8+G$10+H32+R32,C32+H32+R32))</f>
        <v/>
      </c>
      <c r="H32" s="56">
        <f>正常测算!H32</f>
        <v>0</v>
      </c>
      <c r="I32" s="9" t="str">
        <f t="shared" si="4"/>
        <v/>
      </c>
      <c r="J32" s="9" t="str">
        <f t="shared" si="5"/>
        <v/>
      </c>
      <c r="K32" s="9" t="str">
        <f>IF(M32="","",IF(B33="",SUM($J$13:$J32),SUM($J$13:$J32,$J33*(M32-A32)/(A33-A32))))</f>
        <v/>
      </c>
      <c r="L32" s="9" t="str">
        <f>IF(M32="","",IF(B33="",SUM($D$13:$D32,$R$12:$R32,$G$5:$G$10,$C$9,-$C$10),SUM($D$13:$D32,$R$12:$R32,$G$5:$G$10,$D33*(M32-A32)/(A33-A32),$C$9,-$C$10)))</f>
        <v/>
      </c>
      <c r="M32" s="15" t="str">
        <f t="shared" si="6"/>
        <v/>
      </c>
      <c r="N32" s="30" t="str">
        <f t="shared" si="3"/>
        <v/>
      </c>
      <c r="O32" s="53" t="str">
        <f t="shared" si="12"/>
        <v/>
      </c>
      <c r="P32" s="55" t="str">
        <f t="shared" si="13"/>
        <v/>
      </c>
      <c r="R32" s="56">
        <f>IF($H$1="人民币电汇",0,IF(OR($H$1="原币划转",$H$1="美元结汇"),产品成本表!G45,-产品成本表!E45))+正常测算!R32</f>
        <v>0</v>
      </c>
      <c r="S32" s="64" t="str">
        <f t="shared" si="7"/>
        <v/>
      </c>
      <c r="T32" s="65" t="str">
        <f t="shared" si="8"/>
        <v/>
      </c>
      <c r="U32" s="10" t="str">
        <f>IF(J32="","",J32*IF($E$5&lt;=0.5,产品成本表!$E$3,IF($E$5&lt;=1,产品成本表!$E$4,IF($E$5&lt;=3,产品成本表!$E$5,IF($E$5&lt;=5,产品成本表!$E$6,产品成本表!$E$7)))))</f>
        <v/>
      </c>
    </row>
    <row r="33" spans="1:21">
      <c r="A33" s="49" t="str">
        <f t="shared" si="9"/>
        <v/>
      </c>
      <c r="B33" s="50" t="str">
        <f>IF($E$5*$E$7&lt;21,"",21)</f>
        <v/>
      </c>
      <c r="C33" s="51" t="str">
        <f>正常测算!C33</f>
        <v/>
      </c>
      <c r="D33" s="51" t="str">
        <f>正常测算!D33</f>
        <v/>
      </c>
      <c r="E33" s="51" t="str">
        <f t="shared" si="10"/>
        <v/>
      </c>
      <c r="F33" s="52" t="str">
        <f t="shared" si="11"/>
        <v/>
      </c>
      <c r="G33" s="56" t="str">
        <f>IF(C33="","",IF(SUM(C34:C$134)=0,C33-C$7+C$8+G$10+H33+R33,C33+H33+R33))</f>
        <v/>
      </c>
      <c r="H33" s="56">
        <f>正常测算!H33</f>
        <v>0</v>
      </c>
      <c r="I33" s="9" t="str">
        <f t="shared" si="4"/>
        <v/>
      </c>
      <c r="J33" s="9" t="str">
        <f t="shared" si="5"/>
        <v/>
      </c>
      <c r="K33" s="9" t="str">
        <f>IF(M33="","",IF(B34="",SUM($J$13:$J33),SUM($J$13:$J33,$J34*(M33-A33)/(A34-A33))))</f>
        <v/>
      </c>
      <c r="L33" s="9" t="str">
        <f>IF(M33="","",IF(B34="",SUM($D$13:$D33,$R$12:$R33,$G$5:$G$10,$C$9,-$C$10),SUM($D$13:$D33,$R$12:$R33,$G$5:$G$10,$D34*(M33-A33)/(A34-A33),$C$9,-$C$10)))</f>
        <v/>
      </c>
      <c r="M33" s="15" t="str">
        <f t="shared" si="6"/>
        <v/>
      </c>
      <c r="N33" s="30" t="str">
        <f t="shared" si="3"/>
        <v/>
      </c>
      <c r="O33" s="53" t="str">
        <f t="shared" si="12"/>
        <v/>
      </c>
      <c r="P33" s="55" t="str">
        <f t="shared" si="13"/>
        <v/>
      </c>
      <c r="Q33" s="10"/>
      <c r="R33" s="56">
        <f>IF($H$1="人民币电汇",0,IF(OR($H$1="原币划转",$H$1="美元结汇"),产品成本表!G46,-产品成本表!E46))+正常测算!R33</f>
        <v>0</v>
      </c>
      <c r="S33" s="64" t="str">
        <f t="shared" si="7"/>
        <v/>
      </c>
      <c r="T33" s="65" t="str">
        <f t="shared" si="8"/>
        <v/>
      </c>
      <c r="U33" s="10" t="str">
        <f>IF(J33="","",J33*IF($E$5&lt;=0.5,产品成本表!$E$3,IF($E$5&lt;=1,产品成本表!$E$4,IF($E$5&lt;=3,产品成本表!$E$5,IF($E$5&lt;=5,产品成本表!$E$6,产品成本表!$E$7)))))</f>
        <v/>
      </c>
    </row>
    <row r="34" spans="1:21">
      <c r="A34" s="49" t="str">
        <f t="shared" si="9"/>
        <v/>
      </c>
      <c r="B34" s="50" t="str">
        <f>IF($E$5*$E$7&lt;22,"",22)</f>
        <v/>
      </c>
      <c r="C34" s="51" t="str">
        <f>正常测算!C34</f>
        <v/>
      </c>
      <c r="D34" s="51" t="str">
        <f>正常测算!D34</f>
        <v/>
      </c>
      <c r="E34" s="51" t="str">
        <f t="shared" si="10"/>
        <v/>
      </c>
      <c r="F34" s="52" t="str">
        <f t="shared" si="11"/>
        <v/>
      </c>
      <c r="G34" s="56" t="str">
        <f>IF(C34="","",IF(SUM(C35:C$134)=0,C34-C$7+C$8+G$10+H34+R34,C34+H34+R34))</f>
        <v/>
      </c>
      <c r="H34" s="56">
        <f>正常测算!H34</f>
        <v>0</v>
      </c>
      <c r="I34" s="9" t="str">
        <f t="shared" si="4"/>
        <v/>
      </c>
      <c r="J34" s="9" t="str">
        <f t="shared" si="5"/>
        <v/>
      </c>
      <c r="K34" s="9" t="str">
        <f>IF(M34="","",IF(B35="",SUM($J$13:$J34),SUM($J$13:$J34,$J35*(M34-A34)/(A35-A34))))</f>
        <v/>
      </c>
      <c r="L34" s="9" t="str">
        <f>IF(M34="","",IF(B35="",SUM($D$13:$D34,$R$12:$R34,$G$5:$G$10,$C$9,-$C$10),SUM($D$13:$D34,$R$12:$R34,$G$5:$G$10,$D35*(M34-A34)/(A35-A34),$C$9,-$C$10)))</f>
        <v/>
      </c>
      <c r="M34" s="15" t="str">
        <f t="shared" si="6"/>
        <v/>
      </c>
      <c r="N34" s="30" t="str">
        <f t="shared" si="3"/>
        <v/>
      </c>
      <c r="O34" s="53" t="str">
        <f t="shared" si="12"/>
        <v/>
      </c>
      <c r="P34" s="55" t="str">
        <f t="shared" si="13"/>
        <v/>
      </c>
      <c r="R34" s="56">
        <f>IF($H$1="人民币电汇",0,IF(OR($H$1="原币划转",$H$1="美元结汇"),产品成本表!G47,-产品成本表!E47))+正常测算!R34</f>
        <v>0</v>
      </c>
      <c r="S34" s="64" t="str">
        <f t="shared" si="7"/>
        <v/>
      </c>
      <c r="T34" s="65" t="str">
        <f t="shared" si="8"/>
        <v/>
      </c>
      <c r="U34" s="10" t="str">
        <f>IF(J34="","",J34*IF($E$5&lt;=0.5,产品成本表!$E$3,IF($E$5&lt;=1,产品成本表!$E$4,IF($E$5&lt;=3,产品成本表!$E$5,IF($E$5&lt;=5,产品成本表!$E$6,产品成本表!$E$7)))))</f>
        <v/>
      </c>
    </row>
    <row r="35" spans="1:21">
      <c r="A35" s="49" t="str">
        <f t="shared" si="9"/>
        <v/>
      </c>
      <c r="B35" s="50" t="str">
        <f>IF($E$5*$E$7&lt;23,"",23)</f>
        <v/>
      </c>
      <c r="C35" s="51" t="str">
        <f>正常测算!C35</f>
        <v/>
      </c>
      <c r="D35" s="51" t="str">
        <f>正常测算!D35</f>
        <v/>
      </c>
      <c r="E35" s="51" t="str">
        <f t="shared" si="10"/>
        <v/>
      </c>
      <c r="F35" s="52" t="str">
        <f t="shared" si="11"/>
        <v/>
      </c>
      <c r="G35" s="56" t="str">
        <f>IF(C35="","",IF(SUM(C36:C$134)=0,C35-C$7+C$8+G$10+H35+R35,C35+H35+R35))</f>
        <v/>
      </c>
      <c r="H35" s="56">
        <f>正常测算!H35</f>
        <v>0</v>
      </c>
      <c r="I35" s="9" t="str">
        <f t="shared" si="4"/>
        <v/>
      </c>
      <c r="J35" s="9" t="str">
        <f t="shared" si="5"/>
        <v/>
      </c>
      <c r="K35" s="9" t="str">
        <f>IF(M35="","",IF(B36="",SUM($J$13:$J35),SUM($J$13:$J35,$J36*(M35-A35)/(A36-A35))))</f>
        <v/>
      </c>
      <c r="L35" s="9" t="str">
        <f>IF(M35="","",IF(B36="",SUM($D$13:$D35,$R$12:$R35,$G$5:$G$10,$C$9,-$C$10),SUM($D$13:$D35,$R$12:$R35,$G$5:$G$10,$D36*(M35-A35)/(A36-A35),$C$9,-$C$10)))</f>
        <v/>
      </c>
      <c r="M35" s="15" t="str">
        <f t="shared" si="6"/>
        <v/>
      </c>
      <c r="N35" s="30" t="str">
        <f t="shared" si="3"/>
        <v/>
      </c>
      <c r="O35" s="53" t="str">
        <f t="shared" si="12"/>
        <v/>
      </c>
      <c r="P35" s="55" t="str">
        <f t="shared" si="13"/>
        <v/>
      </c>
      <c r="R35" s="56">
        <f>IF($H$1="人民币电汇",0,IF(OR($H$1="原币划转",$H$1="美元结汇"),产品成本表!G48,-产品成本表!E48))+正常测算!R35</f>
        <v>0</v>
      </c>
      <c r="S35" s="64" t="str">
        <f t="shared" si="7"/>
        <v/>
      </c>
      <c r="T35" s="65" t="str">
        <f t="shared" si="8"/>
        <v/>
      </c>
      <c r="U35" s="10" t="str">
        <f>IF(J35="","",J35*IF($E$5&lt;=0.5,产品成本表!$E$3,IF($E$5&lt;=1,产品成本表!$E$4,IF($E$5&lt;=3,产品成本表!$E$5,IF($E$5&lt;=5,产品成本表!$E$6,产品成本表!$E$7)))))</f>
        <v/>
      </c>
    </row>
    <row r="36" spans="1:21">
      <c r="A36" s="49" t="str">
        <f t="shared" si="9"/>
        <v/>
      </c>
      <c r="B36" s="50" t="str">
        <f>IF($E$5*$E$7&lt;24,"",24)</f>
        <v/>
      </c>
      <c r="C36" s="51" t="str">
        <f>正常测算!C36</f>
        <v/>
      </c>
      <c r="D36" s="51" t="str">
        <f>正常测算!D36</f>
        <v/>
      </c>
      <c r="E36" s="51" t="str">
        <f t="shared" si="10"/>
        <v/>
      </c>
      <c r="F36" s="52" t="str">
        <f t="shared" si="11"/>
        <v/>
      </c>
      <c r="G36" s="56" t="str">
        <f>IF(C36="","",IF(SUM(C37:C$134)=0,C36-C$7+C$8+G$10+H36+R36,C36+H36+R36))</f>
        <v/>
      </c>
      <c r="H36" s="56">
        <f>正常测算!H36</f>
        <v>0</v>
      </c>
      <c r="I36" s="9" t="str">
        <f t="shared" si="4"/>
        <v/>
      </c>
      <c r="J36" s="9" t="str">
        <f t="shared" si="5"/>
        <v/>
      </c>
      <c r="K36" s="9" t="str">
        <f>IF(M36="","",IF(B37="",SUM($J$13:$J36),SUM($J$13:$J36,$J37*(M36-A36)/(A37-A36))))</f>
        <v/>
      </c>
      <c r="L36" s="9" t="str">
        <f>IF(M36="","",IF(B37="",SUM($D$13:$D36,$R$12:$R36,$G$5:$G$10,$C$9,-$C$10),SUM($D$13:$D36,$R$12:$R36,$G$5:$G$10,$D37*(M36-A36)/(A37-A36),$C$9,-$C$10)))</f>
        <v/>
      </c>
      <c r="M36" s="15" t="str">
        <f t="shared" si="6"/>
        <v/>
      </c>
      <c r="N36" s="30" t="str">
        <f t="shared" si="3"/>
        <v/>
      </c>
      <c r="O36" s="53" t="str">
        <f t="shared" si="12"/>
        <v/>
      </c>
      <c r="P36" s="55" t="str">
        <f t="shared" si="13"/>
        <v/>
      </c>
      <c r="R36" s="56">
        <f>IF($H$1="人民币电汇",0,IF(OR($H$1="原币划转",$H$1="美元结汇"),产品成本表!G49,-产品成本表!E49))+正常测算!R36</f>
        <v>0</v>
      </c>
      <c r="S36" s="64" t="str">
        <f t="shared" si="7"/>
        <v/>
      </c>
      <c r="T36" s="65" t="str">
        <f t="shared" si="8"/>
        <v/>
      </c>
      <c r="U36" s="10" t="str">
        <f>IF(J36="","",J36*IF($E$5&lt;=0.5,产品成本表!$E$3,IF($E$5&lt;=1,产品成本表!$E$4,IF($E$5&lt;=3,产品成本表!$E$5,IF($E$5&lt;=5,产品成本表!$E$6,产品成本表!$E$7)))))</f>
        <v/>
      </c>
    </row>
    <row r="37" spans="1:21">
      <c r="A37" s="49" t="str">
        <f t="shared" si="9"/>
        <v/>
      </c>
      <c r="B37" s="50" t="str">
        <f>IF($E$5*$E$7&lt;25,"",25)</f>
        <v/>
      </c>
      <c r="C37" s="51" t="str">
        <f>正常测算!C37</f>
        <v/>
      </c>
      <c r="D37" s="51" t="str">
        <f>正常测算!D37</f>
        <v/>
      </c>
      <c r="E37" s="51" t="str">
        <f t="shared" si="10"/>
        <v/>
      </c>
      <c r="F37" s="52" t="str">
        <f t="shared" si="11"/>
        <v/>
      </c>
      <c r="G37" s="56" t="str">
        <f>IF(C37="","",IF(SUM(C38:C$134)=0,C37-C$7+C$8+G$10+H37+R37,C37+H37+R37))</f>
        <v/>
      </c>
      <c r="H37" s="56">
        <f>正常测算!H37</f>
        <v>0</v>
      </c>
      <c r="I37" s="9" t="str">
        <f t="shared" si="4"/>
        <v/>
      </c>
      <c r="J37" s="9" t="str">
        <f t="shared" si="5"/>
        <v/>
      </c>
      <c r="K37" s="9" t="str">
        <f>IF(M37="","",IF(B38="",SUM($J$13:$J37),SUM($J$13:$J37,$J38*(M37-A37)/(A38-A37))))</f>
        <v/>
      </c>
      <c r="L37" s="9" t="str">
        <f>IF(M37="","",IF(B38="",SUM($D$13:$D37,$R$12:$R37,$G$5:$G$10,$C$9,-$C$10),SUM($D$13:$D37,$R$12:$R37,$G$5:$G$10,$D38*(M37-A37)/(A38-A37),$C$9,-$C$10)))</f>
        <v/>
      </c>
      <c r="M37" s="15" t="str">
        <f t="shared" si="6"/>
        <v/>
      </c>
      <c r="N37" s="30" t="str">
        <f t="shared" si="3"/>
        <v/>
      </c>
      <c r="O37" s="53" t="str">
        <f t="shared" si="12"/>
        <v/>
      </c>
      <c r="P37" s="55" t="str">
        <f t="shared" si="13"/>
        <v/>
      </c>
      <c r="R37" s="56">
        <f>IF($H$1="人民币电汇",0,IF(OR($H$1="原币划转",$H$1="美元结汇"),产品成本表!G50,-产品成本表!E50))+正常测算!R37</f>
        <v>0</v>
      </c>
      <c r="S37" s="64" t="str">
        <f t="shared" si="7"/>
        <v/>
      </c>
      <c r="T37" s="65" t="str">
        <f t="shared" si="8"/>
        <v/>
      </c>
      <c r="U37" s="10" t="str">
        <f>IF(J37="","",J37*IF($E$5&lt;=0.5,产品成本表!$E$3,IF($E$5&lt;=1,产品成本表!$E$4,IF($E$5&lt;=3,产品成本表!$E$5,IF($E$5&lt;=5,产品成本表!$E$6,产品成本表!$E$7)))))</f>
        <v/>
      </c>
    </row>
    <row r="38" spans="1:21">
      <c r="A38" s="49" t="str">
        <f t="shared" si="9"/>
        <v/>
      </c>
      <c r="B38" s="50" t="str">
        <f>IF($E$5*$E$7&lt;26,"",26)</f>
        <v/>
      </c>
      <c r="C38" s="51" t="str">
        <f>正常测算!C38</f>
        <v/>
      </c>
      <c r="D38" s="51" t="str">
        <f>正常测算!D38</f>
        <v/>
      </c>
      <c r="E38" s="51" t="str">
        <f t="shared" si="10"/>
        <v/>
      </c>
      <c r="F38" s="52" t="str">
        <f t="shared" si="11"/>
        <v/>
      </c>
      <c r="G38" s="56" t="str">
        <f>IF(C38="","",IF(SUM(C39:C$134)=0,C38-C$7+C$8+G$10+H38+R38,C38+H38+R38))</f>
        <v/>
      </c>
      <c r="H38" s="56">
        <f>正常测算!H38</f>
        <v>0</v>
      </c>
      <c r="I38" s="9" t="str">
        <f t="shared" si="4"/>
        <v/>
      </c>
      <c r="J38" s="9" t="str">
        <f t="shared" si="5"/>
        <v/>
      </c>
      <c r="K38" s="9" t="str">
        <f>IF(M38="","",IF(B39="",SUM($J$13:$J38),SUM($J$13:$J38,$J39*(M38-A38)/(A39-A38))))</f>
        <v/>
      </c>
      <c r="L38" s="9" t="str">
        <f>IF(M38="","",IF(B39="",SUM($D$13:$D38,$R$12:$R38,$G$5:$G$10,$C$9,-$C$10),SUM($D$13:$D38,$R$12:$R38,$G$5:$G$10,$D39*(M38-A38)/(A39-A38),$C$9,-$C$10)))</f>
        <v/>
      </c>
      <c r="M38" s="15" t="str">
        <f t="shared" si="6"/>
        <v/>
      </c>
      <c r="N38" s="30" t="str">
        <f t="shared" si="3"/>
        <v/>
      </c>
      <c r="O38" s="53" t="str">
        <f t="shared" si="12"/>
        <v/>
      </c>
      <c r="P38" s="55" t="str">
        <f t="shared" si="13"/>
        <v/>
      </c>
      <c r="R38" s="56">
        <f>IF($H$1="人民币电汇",0,IF(OR($H$1="原币划转",$H$1="美元结汇"),产品成本表!G51,-产品成本表!E51))+正常测算!R38</f>
        <v>0</v>
      </c>
      <c r="S38" s="64" t="str">
        <f t="shared" si="7"/>
        <v/>
      </c>
      <c r="T38" s="65" t="str">
        <f t="shared" si="8"/>
        <v/>
      </c>
      <c r="U38" s="10" t="str">
        <f>IF(J38="","",J38*IF($E$5&lt;=0.5,产品成本表!$E$3,IF($E$5&lt;=1,产品成本表!$E$4,IF($E$5&lt;=3,产品成本表!$E$5,IF($E$5&lt;=5,产品成本表!$E$6,产品成本表!$E$7)))))</f>
        <v/>
      </c>
    </row>
    <row r="39" spans="1:21">
      <c r="A39" s="49" t="str">
        <f t="shared" si="9"/>
        <v/>
      </c>
      <c r="B39" s="50" t="str">
        <f>IF($E$5*$E$7&lt;27,"",27)</f>
        <v/>
      </c>
      <c r="C39" s="51" t="str">
        <f>正常测算!C39</f>
        <v/>
      </c>
      <c r="D39" s="51" t="str">
        <f>正常测算!D39</f>
        <v/>
      </c>
      <c r="E39" s="51" t="str">
        <f t="shared" si="10"/>
        <v/>
      </c>
      <c r="F39" s="52" t="str">
        <f t="shared" si="11"/>
        <v/>
      </c>
      <c r="G39" s="56" t="str">
        <f>IF(C39="","",IF(SUM(C40:C$134)=0,C39-C$7+C$8+G$10+H39+R39,C39+H39+R39))</f>
        <v/>
      </c>
      <c r="H39" s="56">
        <f>正常测算!H39</f>
        <v>0</v>
      </c>
      <c r="I39" s="9" t="str">
        <f t="shared" si="4"/>
        <v/>
      </c>
      <c r="J39" s="9" t="str">
        <f t="shared" si="5"/>
        <v/>
      </c>
      <c r="K39" s="9" t="str">
        <f>IF(M39="","",IF(B40="",SUM($J$13:$J39),SUM($J$13:$J39,$J40*(M39-A39)/(A40-A39))))</f>
        <v/>
      </c>
      <c r="L39" s="9" t="str">
        <f>IF(M39="","",IF(B40="",SUM($D$13:$D39,$R$12:$R39,$G$5:$G$10,$C$9,-$C$10),SUM($D$13:$D39,$R$12:$R39,$G$5:$G$10,$D40*(M39-A39)/(A40-A39),$C$9,-$C$10)))</f>
        <v/>
      </c>
      <c r="M39" s="15" t="str">
        <f t="shared" si="6"/>
        <v/>
      </c>
      <c r="N39" s="30" t="str">
        <f t="shared" si="3"/>
        <v/>
      </c>
      <c r="O39" s="53" t="str">
        <f t="shared" si="12"/>
        <v/>
      </c>
      <c r="P39" s="55" t="str">
        <f t="shared" si="13"/>
        <v/>
      </c>
      <c r="R39" s="56">
        <f>IF($H$1="人民币电汇",0,IF(OR($H$1="原币划转",$H$1="美元结汇"),产品成本表!G52,-产品成本表!E52))+正常测算!R39</f>
        <v>0</v>
      </c>
      <c r="S39" s="64" t="str">
        <f t="shared" si="7"/>
        <v/>
      </c>
      <c r="T39" s="65" t="str">
        <f t="shared" si="8"/>
        <v/>
      </c>
      <c r="U39" s="10" t="str">
        <f>IF(J39="","",J39*IF($E$5&lt;=0.5,产品成本表!$E$3,IF($E$5&lt;=1,产品成本表!$E$4,IF($E$5&lt;=3,产品成本表!$E$5,IF($E$5&lt;=5,产品成本表!$E$6,产品成本表!$E$7)))))</f>
        <v/>
      </c>
    </row>
    <row r="40" spans="1:21">
      <c r="A40" s="49" t="str">
        <f t="shared" si="9"/>
        <v/>
      </c>
      <c r="B40" s="50" t="str">
        <f>IF($E$5*$E$7&lt;28,"",28)</f>
        <v/>
      </c>
      <c r="C40" s="51" t="str">
        <f>正常测算!C40</f>
        <v/>
      </c>
      <c r="D40" s="51" t="str">
        <f>正常测算!D40</f>
        <v/>
      </c>
      <c r="E40" s="51" t="str">
        <f t="shared" si="10"/>
        <v/>
      </c>
      <c r="F40" s="52" t="str">
        <f t="shared" si="11"/>
        <v/>
      </c>
      <c r="G40" s="56" t="str">
        <f>IF(C40="","",IF(SUM(C41:C$134)=0,C40-C$7+C$8+G$10+H40+R40,C40+H40+R40))</f>
        <v/>
      </c>
      <c r="H40" s="56">
        <f>正常测算!H40</f>
        <v>0</v>
      </c>
      <c r="I40" s="9" t="str">
        <f t="shared" si="4"/>
        <v/>
      </c>
      <c r="J40" s="9" t="str">
        <f t="shared" si="5"/>
        <v/>
      </c>
      <c r="K40" s="9" t="str">
        <f>IF(M40="","",IF(B41="",SUM($J$13:$J40),SUM($J$13:$J40,$J41*(M40-A40)/(A41-A40))))</f>
        <v/>
      </c>
      <c r="L40" s="9" t="str">
        <f>IF(M40="","",IF(B41="",SUM($D$13:$D40,$R$12:$R40,$G$5:$G$10,$C$9,-$C$10),SUM($D$13:$D40,$R$12:$R40,$G$5:$G$10,$D41*(M40-A40)/(A41-A40),$C$9,-$C$10)))</f>
        <v/>
      </c>
      <c r="M40" s="15" t="str">
        <f t="shared" si="6"/>
        <v/>
      </c>
      <c r="N40" s="30" t="str">
        <f t="shared" si="3"/>
        <v/>
      </c>
      <c r="O40" s="53" t="str">
        <f t="shared" si="12"/>
        <v/>
      </c>
      <c r="P40" s="55" t="str">
        <f t="shared" si="13"/>
        <v/>
      </c>
      <c r="R40" s="56">
        <f>IF($H$1="人民币电汇",0,IF(OR($H$1="原币划转",$H$1="美元结汇"),产品成本表!G53,-产品成本表!E53))+正常测算!R40</f>
        <v>0</v>
      </c>
      <c r="S40" s="64" t="str">
        <f t="shared" si="7"/>
        <v/>
      </c>
      <c r="T40" s="65" t="str">
        <f t="shared" si="8"/>
        <v/>
      </c>
      <c r="U40" s="10" t="str">
        <f>IF(J40="","",J40*IF($E$5&lt;=0.5,产品成本表!$E$3,IF($E$5&lt;=1,产品成本表!$E$4,IF($E$5&lt;=3,产品成本表!$E$5,IF($E$5&lt;=5,产品成本表!$E$6,产品成本表!$E$7)))))</f>
        <v/>
      </c>
    </row>
    <row r="41" spans="1:21">
      <c r="A41" s="49" t="str">
        <f t="shared" si="9"/>
        <v/>
      </c>
      <c r="B41" s="50" t="str">
        <f>IF($E$5*$E$7&lt;29,"",29)</f>
        <v/>
      </c>
      <c r="C41" s="51" t="str">
        <f>正常测算!C41</f>
        <v/>
      </c>
      <c r="D41" s="51" t="str">
        <f>正常测算!D41</f>
        <v/>
      </c>
      <c r="E41" s="51" t="str">
        <f t="shared" si="10"/>
        <v/>
      </c>
      <c r="F41" s="52" t="str">
        <f t="shared" si="11"/>
        <v/>
      </c>
      <c r="G41" s="56" t="str">
        <f>IF(C41="","",IF(SUM(C42:C$134)=0,C41-C$7+C$8+G$10+H41+R41,C41+H41+R41))</f>
        <v/>
      </c>
      <c r="H41" s="56">
        <f>正常测算!H41</f>
        <v>0</v>
      </c>
      <c r="I41" s="9" t="str">
        <f t="shared" si="4"/>
        <v/>
      </c>
      <c r="J41" s="9" t="str">
        <f t="shared" si="5"/>
        <v/>
      </c>
      <c r="K41" s="9" t="str">
        <f>IF(M41="","",IF(B42="",SUM($J$13:$J41),SUM($J$13:$J41,$J42*(M41-A41)/(A42-A41))))</f>
        <v/>
      </c>
      <c r="L41" s="9" t="str">
        <f>IF(M41="","",IF(B42="",SUM($D$13:$D41,$R$12:$R41,$G$5:$G$10,$C$9,-$C$10),SUM($D$13:$D41,$R$12:$R41,$G$5:$G$10,$D42*(M41-A41)/(A42-A41),$C$9,-$C$10)))</f>
        <v/>
      </c>
      <c r="M41" s="15" t="str">
        <f t="shared" si="6"/>
        <v/>
      </c>
      <c r="N41" s="30" t="str">
        <f t="shared" si="3"/>
        <v/>
      </c>
      <c r="O41" s="53" t="str">
        <f t="shared" si="12"/>
        <v/>
      </c>
      <c r="P41" s="55" t="str">
        <f t="shared" si="13"/>
        <v/>
      </c>
      <c r="R41" s="56">
        <f>IF($H$1="人民币电汇",0,IF(OR($H$1="原币划转",$H$1="美元结汇"),产品成本表!G54,-产品成本表!E54))+正常测算!R41</f>
        <v>0</v>
      </c>
      <c r="S41" s="64" t="str">
        <f t="shared" si="7"/>
        <v/>
      </c>
      <c r="T41" s="65" t="str">
        <f t="shared" si="8"/>
        <v/>
      </c>
      <c r="U41" s="10" t="str">
        <f>IF(J41="","",J41*IF($E$5&lt;=0.5,产品成本表!$E$3,IF($E$5&lt;=1,产品成本表!$E$4,IF($E$5&lt;=3,产品成本表!$E$5,IF($E$5&lt;=5,产品成本表!$E$6,产品成本表!$E$7)))))</f>
        <v/>
      </c>
    </row>
    <row r="42" spans="1:21">
      <c r="A42" s="49" t="str">
        <f t="shared" si="9"/>
        <v/>
      </c>
      <c r="B42" s="50" t="str">
        <f>IF($E$5*$E$7&lt;30,"",30)</f>
        <v/>
      </c>
      <c r="C42" s="51" t="str">
        <f>正常测算!C42</f>
        <v/>
      </c>
      <c r="D42" s="51" t="str">
        <f>正常测算!D42</f>
        <v/>
      </c>
      <c r="E42" s="51" t="str">
        <f t="shared" si="10"/>
        <v/>
      </c>
      <c r="F42" s="52" t="str">
        <f t="shared" si="11"/>
        <v/>
      </c>
      <c r="G42" s="56" t="str">
        <f>IF(C42="","",IF(SUM(C43:C$134)=0,C42-C$7+C$8+G$10+H42+R42,C42+H42+R42))</f>
        <v/>
      </c>
      <c r="H42" s="56">
        <f>正常测算!H42</f>
        <v>0</v>
      </c>
      <c r="I42" s="9" t="str">
        <f t="shared" si="4"/>
        <v/>
      </c>
      <c r="J42" s="9" t="str">
        <f t="shared" si="5"/>
        <v/>
      </c>
      <c r="K42" s="9" t="str">
        <f>IF(M42="","",IF(B43="",SUM($J$13:$J42),SUM($J$13:$J42,$J43*(M42-A42)/(A43-A42))))</f>
        <v/>
      </c>
      <c r="L42" s="9" t="str">
        <f>IF(M42="","",IF(B43="",SUM($D$13:$D42,$R$12:$R42,$G$5:$G$10,$C$9,-$C$10),SUM($D$13:$D42,$R$12:$R42,$G$5:$G$10,$D43*(M42-A42)/(A43-A42),$C$9,-$C$10)))</f>
        <v/>
      </c>
      <c r="M42" s="15" t="str">
        <f t="shared" si="6"/>
        <v/>
      </c>
      <c r="N42" s="30" t="str">
        <f t="shared" si="3"/>
        <v/>
      </c>
      <c r="O42" s="53" t="str">
        <f t="shared" si="12"/>
        <v/>
      </c>
      <c r="P42" s="55" t="str">
        <f t="shared" si="13"/>
        <v/>
      </c>
      <c r="R42" s="56">
        <f>IF($H$1="人民币电汇",0,IF(OR($H$1="原币划转",$H$1="美元结汇"),产品成本表!G55,-产品成本表!E55))+正常测算!R42</f>
        <v>0</v>
      </c>
      <c r="S42" s="64" t="str">
        <f t="shared" si="7"/>
        <v/>
      </c>
      <c r="T42" s="65" t="str">
        <f t="shared" si="8"/>
        <v/>
      </c>
      <c r="U42" s="10" t="str">
        <f>IF(J42="","",J42*IF($E$5&lt;=0.5,产品成本表!$E$3,IF($E$5&lt;=1,产品成本表!$E$4,IF($E$5&lt;=3,产品成本表!$E$5,IF($E$5&lt;=5,产品成本表!$E$6,产品成本表!$E$7)))))</f>
        <v/>
      </c>
    </row>
    <row r="43" spans="1:21">
      <c r="A43" s="49" t="str">
        <f t="shared" si="9"/>
        <v/>
      </c>
      <c r="B43" s="50" t="str">
        <f>IF($E$5*$E$7&lt;31,"",31)</f>
        <v/>
      </c>
      <c r="C43" s="51" t="str">
        <f>正常测算!C43</f>
        <v/>
      </c>
      <c r="D43" s="51" t="str">
        <f>正常测算!D43</f>
        <v/>
      </c>
      <c r="E43" s="51" t="str">
        <f t="shared" si="10"/>
        <v/>
      </c>
      <c r="F43" s="52" t="str">
        <f t="shared" si="11"/>
        <v/>
      </c>
      <c r="G43" s="56" t="str">
        <f>IF(C43="","",IF(SUM(C44:C$134)=0,C43-C$7+C$8+G$10+H43+R43,C43+H43+R43))</f>
        <v/>
      </c>
      <c r="H43" s="56">
        <f>正常测算!H43</f>
        <v>0</v>
      </c>
      <c r="I43" s="9" t="str">
        <f t="shared" si="4"/>
        <v/>
      </c>
      <c r="J43" s="9" t="str">
        <f t="shared" si="5"/>
        <v/>
      </c>
      <c r="K43" s="9" t="str">
        <f>IF(M43="","",IF(B44="",SUM($J$13:$J43),SUM($J$13:$J43,$J44*(M43-A43)/(A44-A43))))</f>
        <v/>
      </c>
      <c r="L43" s="9" t="str">
        <f>IF(M43="","",IF(B44="",SUM($D$13:$D43,$R$12:$R43,$G$5:$G$10,$C$9,-$C$10),SUM($D$13:$D43,$R$12:$R43,$G$5:$G$10,$D44*(M43-A43)/(A44-A43),$C$9,-$C$10)))</f>
        <v/>
      </c>
      <c r="M43" s="15" t="str">
        <f t="shared" si="6"/>
        <v/>
      </c>
      <c r="N43" s="30" t="str">
        <f t="shared" si="3"/>
        <v/>
      </c>
      <c r="O43" s="53" t="str">
        <f t="shared" si="12"/>
        <v/>
      </c>
      <c r="P43" s="55" t="str">
        <f t="shared" si="13"/>
        <v/>
      </c>
      <c r="R43" s="56">
        <f>IF($H$1="人民币电汇",0,IF(OR($H$1="原币划转",$H$1="美元结汇"),产品成本表!G56,-产品成本表!E56))+正常测算!R43</f>
        <v>0</v>
      </c>
      <c r="S43" s="64" t="str">
        <f t="shared" si="7"/>
        <v/>
      </c>
      <c r="T43" s="65" t="str">
        <f t="shared" si="8"/>
        <v/>
      </c>
      <c r="U43" s="10" t="str">
        <f>IF(J43="","",J43*IF($E$5&lt;=0.5,产品成本表!$E$3,IF($E$5&lt;=1,产品成本表!$E$4,IF($E$5&lt;=3,产品成本表!$E$5,IF($E$5&lt;=5,产品成本表!$E$6,产品成本表!$E$7)))))</f>
        <v/>
      </c>
    </row>
    <row r="44" spans="1:21">
      <c r="A44" s="49" t="str">
        <f t="shared" si="9"/>
        <v/>
      </c>
      <c r="B44" s="50" t="str">
        <f>IF($E$5*$E$7&lt;32,"",32)</f>
        <v/>
      </c>
      <c r="C44" s="51" t="str">
        <f>正常测算!C44</f>
        <v/>
      </c>
      <c r="D44" s="51" t="str">
        <f>正常测算!D44</f>
        <v/>
      </c>
      <c r="E44" s="51" t="str">
        <f t="shared" si="10"/>
        <v/>
      </c>
      <c r="F44" s="52" t="str">
        <f t="shared" si="11"/>
        <v/>
      </c>
      <c r="G44" s="56" t="str">
        <f>IF(C44="","",IF(SUM(C45:C$134)=0,C44-C$7+C$8+G$10+H44+R44,C44+H44+R44))</f>
        <v/>
      </c>
      <c r="H44" s="56">
        <f>正常测算!H44</f>
        <v>0</v>
      </c>
      <c r="I44" s="9" t="str">
        <f t="shared" si="4"/>
        <v/>
      </c>
      <c r="J44" s="9" t="str">
        <f t="shared" si="5"/>
        <v/>
      </c>
      <c r="K44" s="9" t="str">
        <f>IF(M44="","",IF(B45="",SUM($J$13:$J44),SUM($J$13:$J44,$J45*(M44-A44)/(A45-A44))))</f>
        <v/>
      </c>
      <c r="L44" s="9" t="str">
        <f>IF(M44="","",IF(B45="",SUM($D$13:$D44,$R$12:$R44,$G$5:$G$10,$C$9,-$C$10),SUM($D$13:$D44,$R$12:$R44,$G$5:$G$10,$D45*(M44-A44)/(A45-A44),$C$9,-$C$10)))</f>
        <v/>
      </c>
      <c r="M44" s="15" t="str">
        <f t="shared" si="6"/>
        <v/>
      </c>
      <c r="N44" s="30" t="str">
        <f t="shared" si="3"/>
        <v/>
      </c>
      <c r="O44" s="53" t="str">
        <f t="shared" si="12"/>
        <v/>
      </c>
      <c r="P44" s="55" t="str">
        <f t="shared" si="13"/>
        <v/>
      </c>
      <c r="R44" s="56">
        <f>IF($H$1="人民币电汇",0,IF(OR($H$1="原币划转",$H$1="美元结汇"),产品成本表!G57,-产品成本表!E57))+正常测算!R44</f>
        <v>0</v>
      </c>
      <c r="S44" s="64" t="str">
        <f t="shared" si="7"/>
        <v/>
      </c>
      <c r="T44" s="65" t="str">
        <f t="shared" si="8"/>
        <v/>
      </c>
      <c r="U44" s="10" t="str">
        <f>IF(J44="","",J44*IF($E$5&lt;=0.5,产品成本表!$E$3,IF($E$5&lt;=1,产品成本表!$E$4,IF($E$5&lt;=3,产品成本表!$E$5,IF($E$5&lt;=5,产品成本表!$E$6,产品成本表!$E$7)))))</f>
        <v/>
      </c>
    </row>
    <row r="45" spans="1:21">
      <c r="A45" s="49" t="str">
        <f t="shared" si="9"/>
        <v/>
      </c>
      <c r="B45" s="50" t="str">
        <f>IF($E$5*$E$7&lt;33,"",33)</f>
        <v/>
      </c>
      <c r="C45" s="51" t="str">
        <f>正常测算!C45</f>
        <v/>
      </c>
      <c r="D45" s="51" t="str">
        <f>正常测算!D45</f>
        <v/>
      </c>
      <c r="E45" s="51" t="str">
        <f t="shared" si="10"/>
        <v/>
      </c>
      <c r="F45" s="52" t="str">
        <f t="shared" si="11"/>
        <v/>
      </c>
      <c r="G45" s="56" t="str">
        <f>IF(C45="","",IF(SUM(C46:C$134)=0,C45-C$7+C$8+G$10+H45+R45,C45+H45+R45))</f>
        <v/>
      </c>
      <c r="H45" s="56">
        <f>正常测算!H45</f>
        <v>0</v>
      </c>
      <c r="I45" s="9" t="str">
        <f t="shared" si="4"/>
        <v/>
      </c>
      <c r="J45" s="9" t="str">
        <f t="shared" si="5"/>
        <v/>
      </c>
      <c r="K45" s="9" t="str">
        <f>IF(M45="","",IF(B46="",SUM($J$13:$J45),SUM($J$13:$J45,$J46*(M45-A45)/(A46-A45))))</f>
        <v/>
      </c>
      <c r="L45" s="9" t="str">
        <f>IF(M45="","",IF(B46="",SUM($D$13:$D45,$R$12:$R45,$G$5:$G$10,$C$9,-$C$10),SUM($D$13:$D45,$R$12:$R45,$G$5:$G$10,$D46*(M45-A45)/(A46-A45),$C$9,-$C$10)))</f>
        <v/>
      </c>
      <c r="M45" s="15" t="str">
        <f t="shared" si="6"/>
        <v/>
      </c>
      <c r="N45" s="30" t="str">
        <f t="shared" si="3"/>
        <v/>
      </c>
      <c r="O45" s="53" t="str">
        <f t="shared" si="12"/>
        <v/>
      </c>
      <c r="P45" s="55" t="str">
        <f t="shared" si="13"/>
        <v/>
      </c>
      <c r="R45" s="56">
        <f>IF($H$1="人民币电汇",0,IF(OR($H$1="原币划转",$H$1="美元结汇"),产品成本表!G58,-产品成本表!E58))+正常测算!R45</f>
        <v>0</v>
      </c>
      <c r="S45" s="64" t="str">
        <f t="shared" si="7"/>
        <v/>
      </c>
      <c r="T45" s="65" t="str">
        <f t="shared" si="8"/>
        <v/>
      </c>
      <c r="U45" s="10" t="str">
        <f>IF(J45="","",J45*IF($E$5&lt;=0.5,产品成本表!$E$3,IF($E$5&lt;=1,产品成本表!$E$4,IF($E$5&lt;=3,产品成本表!$E$5,IF($E$5&lt;=5,产品成本表!$E$6,产品成本表!$E$7)))))</f>
        <v/>
      </c>
    </row>
    <row r="46" spans="1:21">
      <c r="A46" s="49" t="str">
        <f t="shared" si="9"/>
        <v/>
      </c>
      <c r="B46" s="50" t="str">
        <f>IF($E$5*$E$7&lt;34,"",34)</f>
        <v/>
      </c>
      <c r="C46" s="51" t="str">
        <f>正常测算!C46</f>
        <v/>
      </c>
      <c r="D46" s="51" t="str">
        <f>正常测算!D46</f>
        <v/>
      </c>
      <c r="E46" s="51" t="str">
        <f t="shared" si="10"/>
        <v/>
      </c>
      <c r="F46" s="52" t="str">
        <f t="shared" si="11"/>
        <v/>
      </c>
      <c r="G46" s="56" t="str">
        <f>IF(C46="","",IF(SUM(C47:C$134)=0,C46-C$7+C$8+G$10+H46+R46,C46+H46+R46))</f>
        <v/>
      </c>
      <c r="H46" s="56">
        <f>正常测算!H46</f>
        <v>0</v>
      </c>
      <c r="I46" s="9" t="str">
        <f t="shared" si="4"/>
        <v/>
      </c>
      <c r="J46" s="9" t="str">
        <f t="shared" si="5"/>
        <v/>
      </c>
      <c r="K46" s="9" t="str">
        <f>IF(M46="","",IF(B47="",SUM($J$13:$J46),SUM($J$13:$J46,$J47*(M46-A46)/(A47-A46))))</f>
        <v/>
      </c>
      <c r="L46" s="9" t="str">
        <f>IF(M46="","",IF(B47="",SUM($D$13:$D46,$R$12:$R46,$G$5:$G$10,$C$9,-$C$10),SUM($D$13:$D46,$R$12:$R46,$G$5:$G$10,$D47*(M46-A46)/(A47-A46),$C$9,-$C$10)))</f>
        <v/>
      </c>
      <c r="M46" s="15" t="str">
        <f t="shared" si="6"/>
        <v/>
      </c>
      <c r="N46" s="30" t="str">
        <f t="shared" si="3"/>
        <v/>
      </c>
      <c r="O46" s="53" t="str">
        <f t="shared" si="12"/>
        <v/>
      </c>
      <c r="P46" s="55" t="str">
        <f t="shared" si="13"/>
        <v/>
      </c>
      <c r="R46" s="56">
        <f>IF($H$1="人民币电汇",0,IF(OR($H$1="原币划转",$H$1="美元结汇"),产品成本表!G59,-产品成本表!E59))+正常测算!R46</f>
        <v>0</v>
      </c>
      <c r="S46" s="64" t="str">
        <f t="shared" si="7"/>
        <v/>
      </c>
      <c r="T46" s="65" t="str">
        <f t="shared" si="8"/>
        <v/>
      </c>
      <c r="U46" s="10" t="str">
        <f>IF(J46="","",J46*IF($E$5&lt;=0.5,产品成本表!$E$3,IF($E$5&lt;=1,产品成本表!$E$4,IF($E$5&lt;=3,产品成本表!$E$5,IF($E$5&lt;=5,产品成本表!$E$6,产品成本表!$E$7)))))</f>
        <v/>
      </c>
    </row>
    <row r="47" spans="1:21">
      <c r="A47" s="49" t="str">
        <f t="shared" si="9"/>
        <v/>
      </c>
      <c r="B47" s="50" t="str">
        <f>IF($E$5*$E$7&lt;35,"",35)</f>
        <v/>
      </c>
      <c r="C47" s="51" t="str">
        <f>正常测算!C47</f>
        <v/>
      </c>
      <c r="D47" s="51" t="str">
        <f>正常测算!D47</f>
        <v/>
      </c>
      <c r="E47" s="51" t="str">
        <f t="shared" si="10"/>
        <v/>
      </c>
      <c r="F47" s="52" t="str">
        <f t="shared" si="11"/>
        <v/>
      </c>
      <c r="G47" s="56" t="str">
        <f>IF(C47="","",IF(SUM(C48:C$134)=0,C47-C$7+C$8+G$10+H47+R47,C47+H47+R47))</f>
        <v/>
      </c>
      <c r="H47" s="56">
        <f>正常测算!H47</f>
        <v>0</v>
      </c>
      <c r="I47" s="9" t="str">
        <f t="shared" si="4"/>
        <v/>
      </c>
      <c r="J47" s="9" t="str">
        <f t="shared" si="5"/>
        <v/>
      </c>
      <c r="K47" s="9" t="str">
        <f>IF(M47="","",IF(B48="",SUM($J$13:$J47),SUM($J$13:$J47,$J48*(M47-A47)/(A48-A47))))</f>
        <v/>
      </c>
      <c r="L47" s="9" t="str">
        <f>IF(M47="","",IF(B48="",SUM($D$13:$D47,$R$12:$R47,$G$5:$G$10,$C$9,-$C$10),SUM($D$13:$D47,$R$12:$R47,$G$5:$G$10,$D48*(M47-A47)/(A48-A47),$C$9,-$C$10)))</f>
        <v/>
      </c>
      <c r="M47" s="15" t="str">
        <f t="shared" si="6"/>
        <v/>
      </c>
      <c r="N47" s="30" t="str">
        <f t="shared" si="3"/>
        <v/>
      </c>
      <c r="O47" s="53" t="str">
        <f t="shared" si="12"/>
        <v/>
      </c>
      <c r="P47" s="55" t="str">
        <f t="shared" si="13"/>
        <v/>
      </c>
      <c r="R47" s="56">
        <f>IF($H$1="人民币电汇",0,IF(OR($H$1="原币划转",$H$1="美元结汇"),产品成本表!G60,-产品成本表!E60))+正常测算!R47</f>
        <v>0</v>
      </c>
      <c r="S47" s="64" t="str">
        <f t="shared" si="7"/>
        <v/>
      </c>
      <c r="T47" s="65" t="str">
        <f t="shared" si="8"/>
        <v/>
      </c>
      <c r="U47" s="10" t="str">
        <f>IF(J47="","",J47*IF($E$5&lt;=0.5,产品成本表!$E$3,IF($E$5&lt;=1,产品成本表!$E$4,IF($E$5&lt;=3,产品成本表!$E$5,IF($E$5&lt;=5,产品成本表!$E$6,产品成本表!$E$7)))))</f>
        <v/>
      </c>
    </row>
    <row r="48" spans="1:21">
      <c r="A48" s="49" t="str">
        <f t="shared" si="9"/>
        <v/>
      </c>
      <c r="B48" s="50" t="str">
        <f>IF($E$5*$E$7&lt;36,"",36)</f>
        <v/>
      </c>
      <c r="C48" s="51" t="str">
        <f>正常测算!C48</f>
        <v/>
      </c>
      <c r="D48" s="51" t="str">
        <f>正常测算!D48</f>
        <v/>
      </c>
      <c r="E48" s="51" t="str">
        <f t="shared" si="10"/>
        <v/>
      </c>
      <c r="F48" s="52" t="str">
        <f t="shared" si="11"/>
        <v/>
      </c>
      <c r="G48" s="56" t="str">
        <f>IF(C48="","",IF(SUM(C49:C$134)=0,C48-C$7+C$8+G$10+H48+R48,C48+H48+R48))</f>
        <v/>
      </c>
      <c r="H48" s="56">
        <f>正常测算!H48</f>
        <v>0</v>
      </c>
      <c r="I48" s="9" t="str">
        <f t="shared" si="4"/>
        <v/>
      </c>
      <c r="J48" s="9" t="str">
        <f t="shared" si="5"/>
        <v/>
      </c>
      <c r="K48" s="9" t="str">
        <f>IF(M48="","",IF(B49="",SUM($J$13:$J48),SUM($J$13:$J48,$J49*(M48-A48)/(A49-A48))))</f>
        <v/>
      </c>
      <c r="L48" s="9" t="str">
        <f>IF(M48="","",IF(B49="",SUM($D$13:$D48,$R$12:$R48,$G$5:$G$10,$C$9,-$C$10),SUM($D$13:$D48,$R$12:$R48,$G$5:$G$10,$D49*(M48-A48)/(A49-A48),$C$9,-$C$10)))</f>
        <v/>
      </c>
      <c r="M48" s="15" t="str">
        <f t="shared" si="6"/>
        <v/>
      </c>
      <c r="N48" s="30" t="str">
        <f t="shared" si="3"/>
        <v/>
      </c>
      <c r="O48" s="53" t="str">
        <f t="shared" si="12"/>
        <v/>
      </c>
      <c r="P48" s="55" t="str">
        <f t="shared" si="13"/>
        <v/>
      </c>
      <c r="R48" s="56">
        <f>IF($H$1="人民币电汇",0,IF(OR($H$1="原币划转",$H$1="美元结汇"),产品成本表!G61,-产品成本表!E61))+正常测算!R48</f>
        <v>0</v>
      </c>
      <c r="S48" s="64" t="str">
        <f t="shared" si="7"/>
        <v/>
      </c>
      <c r="T48" s="65" t="str">
        <f t="shared" si="8"/>
        <v/>
      </c>
      <c r="U48" s="10" t="str">
        <f>IF(J48="","",J48*IF($E$5&lt;=0.5,产品成本表!$E$3,IF($E$5&lt;=1,产品成本表!$E$4,IF($E$5&lt;=3,产品成本表!$E$5,IF($E$5&lt;=5,产品成本表!$E$6,产品成本表!$E$7)))))</f>
        <v/>
      </c>
    </row>
    <row r="49" spans="1:21">
      <c r="A49" s="49" t="str">
        <f t="shared" si="9"/>
        <v/>
      </c>
      <c r="B49" s="50" t="str">
        <f>IF($E$5*$E$7&lt;37,"",37)</f>
        <v/>
      </c>
      <c r="C49" s="51" t="str">
        <f>正常测算!C49</f>
        <v/>
      </c>
      <c r="D49" s="51" t="str">
        <f>正常测算!D49</f>
        <v/>
      </c>
      <c r="E49" s="51" t="str">
        <f t="shared" si="10"/>
        <v/>
      </c>
      <c r="F49" s="52" t="str">
        <f t="shared" si="11"/>
        <v/>
      </c>
      <c r="G49" s="56" t="str">
        <f>IF(C49="","",IF(SUM(C50:C$134)=0,C49-C$7+C$8+G$10+H49+R49,C49+H49+R49))</f>
        <v/>
      </c>
      <c r="H49" s="56">
        <f>正常测算!H49</f>
        <v>0</v>
      </c>
      <c r="I49" s="9" t="str">
        <f t="shared" si="4"/>
        <v/>
      </c>
      <c r="J49" s="9" t="str">
        <f t="shared" si="5"/>
        <v/>
      </c>
      <c r="K49" s="9" t="str">
        <f>IF(M49="","",IF(B50="",SUM($J$13:$J49),SUM($J$13:$J49,$J50*(M49-A49)/(A50-A49))))</f>
        <v/>
      </c>
      <c r="L49" s="9" t="str">
        <f>IF(M49="","",IF(B50="",SUM($D$13:$D49,$R$12:$R49,$G$5:$G$10,$C$9,-$C$10),SUM($D$13:$D49,$R$12:$R49,$G$5:$G$10,$D50*(M49-A49)/(A50-A49),$C$9,-$C$10)))</f>
        <v/>
      </c>
      <c r="M49" s="15" t="str">
        <f t="shared" si="6"/>
        <v/>
      </c>
      <c r="N49" s="30" t="str">
        <f t="shared" si="3"/>
        <v/>
      </c>
      <c r="O49" s="53" t="str">
        <f t="shared" si="12"/>
        <v/>
      </c>
      <c r="P49" s="55" t="str">
        <f t="shared" si="13"/>
        <v/>
      </c>
      <c r="R49" s="56">
        <f>IF($H$1="人民币电汇",0,IF(OR($H$1="原币划转",$H$1="美元结汇"),产品成本表!G62,-产品成本表!E62))+正常测算!R49</f>
        <v>0</v>
      </c>
      <c r="S49" s="64" t="str">
        <f t="shared" si="7"/>
        <v/>
      </c>
      <c r="T49" s="65" t="str">
        <f t="shared" si="8"/>
        <v/>
      </c>
      <c r="U49" s="10" t="str">
        <f>IF(J49="","",J49*IF($E$5&lt;=0.5,产品成本表!$E$3,IF($E$5&lt;=1,产品成本表!$E$4,IF($E$5&lt;=3,产品成本表!$E$5,IF($E$5&lt;=5,产品成本表!$E$6,产品成本表!$E$7)))))</f>
        <v/>
      </c>
    </row>
    <row r="50" spans="1:21">
      <c r="A50" s="49" t="str">
        <f t="shared" si="9"/>
        <v/>
      </c>
      <c r="B50" s="50" t="str">
        <f>IF($E$5*$E$7&lt;38,"",38)</f>
        <v/>
      </c>
      <c r="C50" s="51" t="str">
        <f>正常测算!C50</f>
        <v/>
      </c>
      <c r="D50" s="51" t="str">
        <f>正常测算!D50</f>
        <v/>
      </c>
      <c r="E50" s="51" t="str">
        <f t="shared" si="10"/>
        <v/>
      </c>
      <c r="F50" s="52" t="str">
        <f t="shared" si="11"/>
        <v/>
      </c>
      <c r="G50" s="56" t="str">
        <f>IF(C50="","",IF(SUM(C51:C$134)=0,C50-C$7+C$8+G$10+H50+R50,C50+H50+R50))</f>
        <v/>
      </c>
      <c r="H50" s="56">
        <f>正常测算!H50</f>
        <v>0</v>
      </c>
      <c r="I50" s="9" t="str">
        <f t="shared" si="4"/>
        <v/>
      </c>
      <c r="J50" s="9" t="str">
        <f t="shared" si="5"/>
        <v/>
      </c>
      <c r="K50" s="9" t="str">
        <f>IF(M50="","",IF(B51="",SUM($J$13:$J50),SUM($J$13:$J50,$J51*(M50-A50)/(A51-A50))))</f>
        <v/>
      </c>
      <c r="L50" s="9" t="str">
        <f>IF(M50="","",IF(B51="",SUM($D$13:$D50,$R$12:$R50,$G$5:$G$10,$C$9,-$C$10),SUM($D$13:$D50,$R$12:$R50,$G$5:$G$10,$D51*(M50-A50)/(A51-A50),$C$9,-$C$10)))</f>
        <v/>
      </c>
      <c r="M50" s="15" t="str">
        <f t="shared" si="6"/>
        <v/>
      </c>
      <c r="N50" s="30" t="str">
        <f t="shared" si="3"/>
        <v/>
      </c>
      <c r="O50" s="53" t="str">
        <f t="shared" si="12"/>
        <v/>
      </c>
      <c r="P50" s="55" t="str">
        <f t="shared" si="13"/>
        <v/>
      </c>
      <c r="R50" s="56">
        <f>IF($H$1="人民币电汇",0,IF(OR($H$1="原币划转",$H$1="美元结汇"),产品成本表!G63,-产品成本表!E63))+正常测算!R50</f>
        <v>0</v>
      </c>
      <c r="S50" s="64" t="str">
        <f t="shared" si="7"/>
        <v/>
      </c>
      <c r="T50" s="65" t="str">
        <f t="shared" si="8"/>
        <v/>
      </c>
      <c r="U50" s="10" t="str">
        <f>IF(J50="","",J50*IF($E$5&lt;=0.5,产品成本表!$E$3,IF($E$5&lt;=1,产品成本表!$E$4,IF($E$5&lt;=3,产品成本表!$E$5,IF($E$5&lt;=5,产品成本表!$E$6,产品成本表!$E$7)))))</f>
        <v/>
      </c>
    </row>
    <row r="51" spans="1:21">
      <c r="A51" s="49" t="str">
        <f t="shared" si="9"/>
        <v/>
      </c>
      <c r="B51" s="50" t="str">
        <f>IF($E$5*$E$7&lt;39,"",39)</f>
        <v/>
      </c>
      <c r="C51" s="51" t="str">
        <f>正常测算!C51</f>
        <v/>
      </c>
      <c r="D51" s="51" t="str">
        <f>正常测算!D51</f>
        <v/>
      </c>
      <c r="E51" s="51" t="str">
        <f t="shared" si="10"/>
        <v/>
      </c>
      <c r="F51" s="52" t="str">
        <f t="shared" si="11"/>
        <v/>
      </c>
      <c r="G51" s="56" t="str">
        <f>IF(C51="","",IF(SUM(C52:C$134)=0,C51-C$7+C$8+G$10+H51+R51,C51+H51+R51))</f>
        <v/>
      </c>
      <c r="H51" s="56">
        <f>正常测算!H51</f>
        <v>0</v>
      </c>
      <c r="I51" s="9" t="str">
        <f t="shared" si="4"/>
        <v/>
      </c>
      <c r="J51" s="9" t="str">
        <f t="shared" si="5"/>
        <v/>
      </c>
      <c r="K51" s="9" t="str">
        <f>IF(M51="","",IF(B52="",SUM($J$13:$J51),SUM($J$13:$J51,$J52*(M51-A51)/(A52-A51))))</f>
        <v/>
      </c>
      <c r="L51" s="9" t="str">
        <f>IF(M51="","",IF(B52="",SUM($D$13:$D51,$R$12:$R51,$G$5:$G$10,$C$9,-$C$10),SUM($D$13:$D51,$R$12:$R51,$G$5:$G$10,$D52*(M51-A51)/(A52-A51),$C$9,-$C$10)))</f>
        <v/>
      </c>
      <c r="M51" s="15" t="str">
        <f t="shared" si="6"/>
        <v/>
      </c>
      <c r="N51" s="30" t="str">
        <f t="shared" si="3"/>
        <v/>
      </c>
      <c r="O51" s="53" t="str">
        <f t="shared" si="12"/>
        <v/>
      </c>
      <c r="P51" s="55" t="str">
        <f t="shared" si="13"/>
        <v/>
      </c>
      <c r="R51" s="56">
        <f>IF($H$1="人民币电汇",0,IF(OR($H$1="原币划转",$H$1="美元结汇"),产品成本表!G64,-产品成本表!E64))+正常测算!R51</f>
        <v>0</v>
      </c>
      <c r="S51" s="64" t="str">
        <f t="shared" si="7"/>
        <v/>
      </c>
      <c r="T51" s="65" t="str">
        <f t="shared" si="8"/>
        <v/>
      </c>
      <c r="U51" s="10" t="str">
        <f>IF(J51="","",J51*IF($E$5&lt;=0.5,产品成本表!$E$3,IF($E$5&lt;=1,产品成本表!$E$4,IF($E$5&lt;=3,产品成本表!$E$5,IF($E$5&lt;=5,产品成本表!$E$6,产品成本表!$E$7)))))</f>
        <v/>
      </c>
    </row>
    <row r="52" spans="1:21">
      <c r="A52" s="49" t="str">
        <f t="shared" si="9"/>
        <v/>
      </c>
      <c r="B52" s="50" t="str">
        <f>IF($E$5*$E$7&lt;40,"",40)</f>
        <v/>
      </c>
      <c r="C52" s="51" t="str">
        <f>正常测算!C52</f>
        <v/>
      </c>
      <c r="D52" s="51" t="str">
        <f>正常测算!D52</f>
        <v/>
      </c>
      <c r="E52" s="51" t="str">
        <f t="shared" si="10"/>
        <v/>
      </c>
      <c r="F52" s="52" t="str">
        <f t="shared" si="11"/>
        <v/>
      </c>
      <c r="G52" s="56" t="str">
        <f>IF(C52="","",IF(SUM(C53:C$134)=0,C52-C$7+C$8+G$10+H52+R52,C52+H52+R52))</f>
        <v/>
      </c>
      <c r="H52" s="56">
        <f>正常测算!H52</f>
        <v>0</v>
      </c>
      <c r="I52" s="9" t="str">
        <f t="shared" si="4"/>
        <v/>
      </c>
      <c r="J52" s="9" t="str">
        <f t="shared" si="5"/>
        <v/>
      </c>
      <c r="K52" s="9" t="str">
        <f>IF(M52="","",IF(B53="",SUM($J$13:$J52),SUM($J$13:$J52,$J53*(M52-A52)/(A53-A52))))</f>
        <v/>
      </c>
      <c r="L52" s="9" t="str">
        <f>IF(M52="","",IF(B53="",SUM($D$13:$D52,$R$12:$R52,$G$5:$G$10,$C$9,-$C$10),SUM($D$13:$D52,$R$12:$R52,$G$5:$G$10,$D53*(M52-A52)/(A53-A52),$C$9,-$C$10)))</f>
        <v/>
      </c>
      <c r="M52" s="15" t="str">
        <f t="shared" si="6"/>
        <v/>
      </c>
      <c r="N52" s="30" t="str">
        <f t="shared" si="3"/>
        <v/>
      </c>
      <c r="O52" s="53" t="str">
        <f t="shared" si="12"/>
        <v/>
      </c>
      <c r="P52" s="55" t="str">
        <f t="shared" si="13"/>
        <v/>
      </c>
      <c r="R52" s="56">
        <f>IF($H$1="人民币电汇",0,IF(OR($H$1="原币划转",$H$1="美元结汇"),产品成本表!G65,-产品成本表!E65))+正常测算!R52</f>
        <v>0</v>
      </c>
      <c r="S52" s="64" t="str">
        <f t="shared" si="7"/>
        <v/>
      </c>
      <c r="T52" s="65" t="str">
        <f t="shared" si="8"/>
        <v/>
      </c>
      <c r="U52" s="10" t="str">
        <f>IF(J52="","",J52*IF($E$5&lt;=0.5,产品成本表!$E$3,IF($E$5&lt;=1,产品成本表!$E$4,IF($E$5&lt;=3,产品成本表!$E$5,IF($E$5&lt;=5,产品成本表!$E$6,产品成本表!$E$7)))))</f>
        <v/>
      </c>
    </row>
    <row r="53" spans="1:21">
      <c r="A53" s="49" t="str">
        <f t="shared" si="9"/>
        <v/>
      </c>
      <c r="B53" s="50" t="str">
        <f>IF($E$5*$E$7&lt;41,"",41)</f>
        <v/>
      </c>
      <c r="C53" s="51" t="str">
        <f>正常测算!C53</f>
        <v/>
      </c>
      <c r="D53" s="51" t="str">
        <f>正常测算!D53</f>
        <v/>
      </c>
      <c r="E53" s="51" t="str">
        <f t="shared" si="10"/>
        <v/>
      </c>
      <c r="F53" s="52" t="str">
        <f t="shared" si="11"/>
        <v/>
      </c>
      <c r="G53" s="56" t="str">
        <f>IF(C53="","",IF(SUM(C54:C$134)=0,C53-C$7+C$8+G$10+H53+R53,C53+H53+R53))</f>
        <v/>
      </c>
      <c r="H53" s="56">
        <f>正常测算!H53</f>
        <v>0</v>
      </c>
      <c r="I53" s="9" t="str">
        <f t="shared" si="4"/>
        <v/>
      </c>
      <c r="J53" s="9" t="str">
        <f t="shared" si="5"/>
        <v/>
      </c>
      <c r="K53" s="9" t="str">
        <f>IF(M53="","",IF(B54="",SUM($J$13:$J53),SUM($J$13:$J53,$J54*(M53-A53)/(A54-A53))))</f>
        <v/>
      </c>
      <c r="L53" s="9" t="str">
        <f>IF(M53="","",IF(B54="",SUM($D$13:$D53,$R$12:$R53,$G$5:$G$10,$C$9,-$C$10),SUM($D$13:$D53,$R$12:$R53,$G$5:$G$10,$D54*(M53-A53)/(A54-A53),$C$9,-$C$10)))</f>
        <v/>
      </c>
      <c r="M53" s="15" t="str">
        <f t="shared" si="6"/>
        <v/>
      </c>
      <c r="N53" s="30" t="str">
        <f t="shared" si="3"/>
        <v/>
      </c>
      <c r="O53" s="53" t="str">
        <f t="shared" si="12"/>
        <v/>
      </c>
      <c r="P53" s="55" t="str">
        <f t="shared" si="13"/>
        <v/>
      </c>
      <c r="R53" s="56">
        <f>IF($H$1="人民币电汇",0,IF(OR($H$1="原币划转",$H$1="美元结汇"),产品成本表!G66,-产品成本表!E66))+正常测算!R53</f>
        <v>0</v>
      </c>
      <c r="S53" s="64" t="str">
        <f t="shared" si="7"/>
        <v/>
      </c>
      <c r="T53" s="65" t="str">
        <f t="shared" si="8"/>
        <v/>
      </c>
      <c r="U53" s="10" t="str">
        <f>IF(J53="","",J53*IF($E$5&lt;=0.5,产品成本表!$E$3,IF($E$5&lt;=1,产品成本表!$E$4,IF($E$5&lt;=3,产品成本表!$E$5,IF($E$5&lt;=5,产品成本表!$E$6,产品成本表!$E$7)))))</f>
        <v/>
      </c>
    </row>
    <row r="54" spans="1:21">
      <c r="A54" s="49" t="str">
        <f t="shared" si="9"/>
        <v/>
      </c>
      <c r="B54" s="50" t="str">
        <f>IF($E$5*$E$7&lt;42,"",42)</f>
        <v/>
      </c>
      <c r="C54" s="51" t="str">
        <f>正常测算!C54</f>
        <v/>
      </c>
      <c r="D54" s="51" t="str">
        <f>正常测算!D54</f>
        <v/>
      </c>
      <c r="E54" s="51" t="str">
        <f t="shared" si="10"/>
        <v/>
      </c>
      <c r="F54" s="52" t="str">
        <f t="shared" si="11"/>
        <v/>
      </c>
      <c r="G54" s="56" t="str">
        <f>IF(C54="","",IF(SUM(C55:C$134)=0,C54-C$7+C$8+G$10+H54+R54,C54+H54+R54))</f>
        <v/>
      </c>
      <c r="H54" s="56">
        <f>正常测算!H54</f>
        <v>0</v>
      </c>
      <c r="I54" s="9" t="str">
        <f t="shared" si="4"/>
        <v/>
      </c>
      <c r="J54" s="9" t="str">
        <f t="shared" si="5"/>
        <v/>
      </c>
      <c r="K54" s="9" t="str">
        <f>IF(M54="","",IF(B55="",SUM($J$13:$J54),SUM($J$13:$J54,$J55*(M54-A54)/(A55-A54))))</f>
        <v/>
      </c>
      <c r="L54" s="9" t="str">
        <f>IF(M54="","",IF(B55="",SUM($D$13:$D54,$R$12:$R54,$G$5:$G$10,$C$9,-$C$10),SUM($D$13:$D54,$R$12:$R54,$G$5:$G$10,$D55*(M54-A54)/(A55-A54),$C$9,-$C$10)))</f>
        <v/>
      </c>
      <c r="M54" s="15" t="str">
        <f t="shared" si="6"/>
        <v/>
      </c>
      <c r="N54" s="30" t="str">
        <f t="shared" si="3"/>
        <v/>
      </c>
      <c r="O54" s="53" t="str">
        <f t="shared" si="12"/>
        <v/>
      </c>
      <c r="P54" s="55" t="str">
        <f t="shared" si="13"/>
        <v/>
      </c>
      <c r="R54" s="56">
        <f>IF($H$1="人民币电汇",0,IF(OR($H$1="原币划转",$H$1="美元结汇"),产品成本表!G67,-产品成本表!E67))+正常测算!R54</f>
        <v>0</v>
      </c>
      <c r="S54" s="64" t="str">
        <f t="shared" si="7"/>
        <v/>
      </c>
      <c r="T54" s="65" t="str">
        <f t="shared" si="8"/>
        <v/>
      </c>
      <c r="U54" s="10" t="str">
        <f>IF(J54="","",J54*IF($E$5&lt;=0.5,产品成本表!$E$3,IF($E$5&lt;=1,产品成本表!$E$4,IF($E$5&lt;=3,产品成本表!$E$5,IF($E$5&lt;=5,产品成本表!$E$6,产品成本表!$E$7)))))</f>
        <v/>
      </c>
    </row>
    <row r="55" spans="1:21">
      <c r="A55" s="49" t="str">
        <f t="shared" si="9"/>
        <v/>
      </c>
      <c r="B55" s="50" t="str">
        <f>IF($E$5*$E$7&lt;43,"",43)</f>
        <v/>
      </c>
      <c r="C55" s="51" t="str">
        <f>正常测算!C55</f>
        <v/>
      </c>
      <c r="D55" s="51" t="str">
        <f>正常测算!D55</f>
        <v/>
      </c>
      <c r="E55" s="51" t="str">
        <f t="shared" si="10"/>
        <v/>
      </c>
      <c r="F55" s="52" t="str">
        <f t="shared" si="11"/>
        <v/>
      </c>
      <c r="G55" s="56" t="str">
        <f>IF(C55="","",IF(SUM(C56:C$134)=0,C55-C$7+C$8+G$10+H55+R55,C55+H55+R55))</f>
        <v/>
      </c>
      <c r="H55" s="56">
        <f>正常测算!H55</f>
        <v>0</v>
      </c>
      <c r="I55" s="9" t="str">
        <f t="shared" si="4"/>
        <v/>
      </c>
      <c r="J55" s="9" t="str">
        <f t="shared" si="5"/>
        <v/>
      </c>
      <c r="K55" s="9" t="str">
        <f>IF(M55="","",IF(B56="",SUM($J$13:$J55),SUM($J$13:$J55,$J56*(M55-A55)/(A56-A55))))</f>
        <v/>
      </c>
      <c r="L55" s="9" t="str">
        <f>IF(M55="","",IF(B56="",SUM($D$13:$D55,$R$12:$R55,$G$5:$G$10,$C$9,-$C$10),SUM($D$13:$D55,$R$12:$R55,$G$5:$G$10,$D56*(M55-A55)/(A56-A55),$C$9,-$C$10)))</f>
        <v/>
      </c>
      <c r="M55" s="15" t="str">
        <f t="shared" si="6"/>
        <v/>
      </c>
      <c r="N55" s="30" t="str">
        <f t="shared" si="3"/>
        <v/>
      </c>
      <c r="O55" s="53" t="str">
        <f t="shared" si="12"/>
        <v/>
      </c>
      <c r="P55" s="55" t="str">
        <f t="shared" si="13"/>
        <v/>
      </c>
      <c r="R55" s="56">
        <f>IF($H$1="人民币电汇",0,IF(OR($H$1="原币划转",$H$1="美元结汇"),产品成本表!G68,-产品成本表!E68))+正常测算!R55</f>
        <v>0</v>
      </c>
      <c r="S55" s="64" t="str">
        <f t="shared" si="7"/>
        <v/>
      </c>
      <c r="T55" s="65" t="str">
        <f t="shared" si="8"/>
        <v/>
      </c>
      <c r="U55" s="10" t="str">
        <f>IF(J55="","",J55*IF($E$5&lt;=0.5,产品成本表!$E$3,IF($E$5&lt;=1,产品成本表!$E$4,IF($E$5&lt;=3,产品成本表!$E$5,IF($E$5&lt;=5,产品成本表!$E$6,产品成本表!$E$7)))))</f>
        <v/>
      </c>
    </row>
    <row r="56" spans="1:21">
      <c r="A56" s="49" t="str">
        <f t="shared" si="9"/>
        <v/>
      </c>
      <c r="B56" s="50" t="str">
        <f>IF($E$5*$E$7&lt;44,"",44)</f>
        <v/>
      </c>
      <c r="C56" s="51" t="str">
        <f>正常测算!C56</f>
        <v/>
      </c>
      <c r="D56" s="51" t="str">
        <f>正常测算!D56</f>
        <v/>
      </c>
      <c r="E56" s="51" t="str">
        <f t="shared" si="10"/>
        <v/>
      </c>
      <c r="F56" s="52" t="str">
        <f t="shared" si="11"/>
        <v/>
      </c>
      <c r="G56" s="56" t="str">
        <f>IF(C56="","",IF(SUM(C57:C$134)=0,C56-C$7+C$8+G$10+H56+R56,C56+H56+R56))</f>
        <v/>
      </c>
      <c r="H56" s="56">
        <f>正常测算!H56</f>
        <v>0</v>
      </c>
      <c r="I56" s="9" t="str">
        <f t="shared" si="4"/>
        <v/>
      </c>
      <c r="J56" s="9" t="str">
        <f t="shared" si="5"/>
        <v/>
      </c>
      <c r="K56" s="9" t="str">
        <f>IF(M56="","",IF(B57="",SUM($J$13:$J56),SUM($J$13:$J56,$J57*(M56-A56)/(A57-A56))))</f>
        <v/>
      </c>
      <c r="L56" s="9" t="str">
        <f>IF(M56="","",IF(B57="",SUM($D$13:$D56,$R$12:$R56,$G$5:$G$10,$C$9,-$C$10),SUM($D$13:$D56,$R$12:$R56,$G$5:$G$10,$D57*(M56-A56)/(A57-A56),$C$9,-$C$10)))</f>
        <v/>
      </c>
      <c r="M56" s="15" t="str">
        <f t="shared" si="6"/>
        <v/>
      </c>
      <c r="N56" s="30" t="str">
        <f t="shared" si="3"/>
        <v/>
      </c>
      <c r="O56" s="53" t="str">
        <f t="shared" si="12"/>
        <v/>
      </c>
      <c r="P56" s="55" t="str">
        <f t="shared" si="13"/>
        <v/>
      </c>
      <c r="R56" s="56">
        <f>IF($H$1="人民币电汇",0,IF(OR($H$1="原币划转",$H$1="美元结汇"),产品成本表!G69,-产品成本表!E69))+正常测算!R56</f>
        <v>0</v>
      </c>
      <c r="S56" s="64" t="str">
        <f t="shared" si="7"/>
        <v/>
      </c>
      <c r="T56" s="65" t="str">
        <f t="shared" si="8"/>
        <v/>
      </c>
      <c r="U56" s="10" t="str">
        <f>IF(J56="","",J56*IF($E$5&lt;=0.5,产品成本表!$E$3,IF($E$5&lt;=1,产品成本表!$E$4,IF($E$5&lt;=3,产品成本表!$E$5,IF($E$5&lt;=5,产品成本表!$E$6,产品成本表!$E$7)))))</f>
        <v/>
      </c>
    </row>
    <row r="57" spans="1:21">
      <c r="A57" s="49" t="str">
        <f t="shared" si="9"/>
        <v/>
      </c>
      <c r="B57" s="50" t="str">
        <f>IF($E$5*$E$7&lt;45,"",45)</f>
        <v/>
      </c>
      <c r="C57" s="51" t="str">
        <f>正常测算!C57</f>
        <v/>
      </c>
      <c r="D57" s="51" t="str">
        <f>正常测算!D57</f>
        <v/>
      </c>
      <c r="E57" s="51" t="str">
        <f t="shared" si="10"/>
        <v/>
      </c>
      <c r="F57" s="52" t="str">
        <f t="shared" si="11"/>
        <v/>
      </c>
      <c r="G57" s="56" t="str">
        <f>IF(C57="","",IF(SUM(C58:C$134)=0,C57-C$7+C$8+G$10+H57+R57,C57+H57+R57))</f>
        <v/>
      </c>
      <c r="H57" s="56">
        <f>正常测算!H57</f>
        <v>0</v>
      </c>
      <c r="I57" s="9" t="str">
        <f t="shared" si="4"/>
        <v/>
      </c>
      <c r="J57" s="9" t="str">
        <f t="shared" si="5"/>
        <v/>
      </c>
      <c r="K57" s="9" t="str">
        <f>IF(M57="","",IF(B58="",SUM($J$13:$J57),SUM($J$13:$J57,$J58*(M57-A57)/(A58-A57))))</f>
        <v/>
      </c>
      <c r="L57" s="9" t="str">
        <f>IF(M57="","",IF(B58="",SUM($D$13:$D57,$R$12:$R57,$G$5:$G$10,$C$9,-$C$10),SUM($D$13:$D57,$R$12:$R57,$G$5:$G$10,$D58*(M57-A57)/(A58-A57),$C$9,-$C$10)))</f>
        <v/>
      </c>
      <c r="M57" s="15" t="str">
        <f t="shared" si="6"/>
        <v/>
      </c>
      <c r="N57" s="30" t="str">
        <f t="shared" si="3"/>
        <v/>
      </c>
      <c r="O57" s="53" t="str">
        <f t="shared" si="12"/>
        <v/>
      </c>
      <c r="P57" s="55" t="str">
        <f t="shared" si="13"/>
        <v/>
      </c>
      <c r="R57" s="56">
        <f>IF($H$1="人民币电汇",0,IF(OR($H$1="原币划转",$H$1="美元结汇"),产品成本表!G70,-产品成本表!E70))+正常测算!R57</f>
        <v>0</v>
      </c>
      <c r="S57" s="64" t="str">
        <f t="shared" si="7"/>
        <v/>
      </c>
      <c r="T57" s="65" t="str">
        <f t="shared" si="8"/>
        <v/>
      </c>
      <c r="U57" s="10" t="str">
        <f>IF(J57="","",J57*IF($E$5&lt;=0.5,产品成本表!$E$3,IF($E$5&lt;=1,产品成本表!$E$4,IF($E$5&lt;=3,产品成本表!$E$5,IF($E$5&lt;=5,产品成本表!$E$6,产品成本表!$E$7)))))</f>
        <v/>
      </c>
    </row>
    <row r="58" spans="1:21">
      <c r="A58" s="49" t="str">
        <f t="shared" si="9"/>
        <v/>
      </c>
      <c r="B58" s="50" t="str">
        <f>IF($E$5*$E$7&lt;46,"",46)</f>
        <v/>
      </c>
      <c r="C58" s="51" t="str">
        <f>正常测算!C58</f>
        <v/>
      </c>
      <c r="D58" s="51" t="str">
        <f>正常测算!D58</f>
        <v/>
      </c>
      <c r="E58" s="51" t="str">
        <f t="shared" si="10"/>
        <v/>
      </c>
      <c r="F58" s="52" t="str">
        <f t="shared" si="11"/>
        <v/>
      </c>
      <c r="G58" s="56" t="str">
        <f>IF(C58="","",IF(SUM(C59:C$134)=0,C58-C$7+C$8+G$10+H58+R58,C58+H58+R58))</f>
        <v/>
      </c>
      <c r="H58" s="56">
        <f>正常测算!H58</f>
        <v>0</v>
      </c>
      <c r="I58" s="9" t="str">
        <f t="shared" si="4"/>
        <v/>
      </c>
      <c r="J58" s="9" t="str">
        <f t="shared" si="5"/>
        <v/>
      </c>
      <c r="K58" s="9" t="str">
        <f>IF(M58="","",IF(B59="",SUM($J$13:$J58),SUM($J$13:$J58,$J59*(M58-A58)/(A59-A58))))</f>
        <v/>
      </c>
      <c r="L58" s="9" t="str">
        <f>IF(M58="","",IF(B59="",SUM($D$13:$D58,$R$12:$R58,$G$5:$G$10,$C$9,-$C$10),SUM($D$13:$D58,$R$12:$R58,$G$5:$G$10,$D59*(M58-A58)/(A59-A58),$C$9,-$C$10)))</f>
        <v/>
      </c>
      <c r="M58" s="15" t="str">
        <f t="shared" si="6"/>
        <v/>
      </c>
      <c r="N58" s="30" t="str">
        <f t="shared" si="3"/>
        <v/>
      </c>
      <c r="O58" s="53" t="str">
        <f t="shared" si="12"/>
        <v/>
      </c>
      <c r="P58" s="55" t="str">
        <f t="shared" si="13"/>
        <v/>
      </c>
      <c r="R58" s="56">
        <f>IF($H$1="人民币电汇",0,IF(OR($H$1="原币划转",$H$1="美元结汇"),产品成本表!G71,-产品成本表!E71))+正常测算!R58</f>
        <v>0</v>
      </c>
      <c r="S58" s="64" t="str">
        <f t="shared" si="7"/>
        <v/>
      </c>
      <c r="T58" s="65" t="str">
        <f t="shared" si="8"/>
        <v/>
      </c>
      <c r="U58" s="10" t="str">
        <f>IF(J58="","",J58*IF($E$5&lt;=0.5,产品成本表!$E$3,IF($E$5&lt;=1,产品成本表!$E$4,IF($E$5&lt;=3,产品成本表!$E$5,IF($E$5&lt;=5,产品成本表!$E$6,产品成本表!$E$7)))))</f>
        <v/>
      </c>
    </row>
    <row r="59" spans="1:21">
      <c r="A59" s="49" t="str">
        <f t="shared" si="9"/>
        <v/>
      </c>
      <c r="B59" s="50" t="str">
        <f>IF($E$5*$E$7&lt;47,"",47)</f>
        <v/>
      </c>
      <c r="C59" s="51" t="str">
        <f>正常测算!C59</f>
        <v/>
      </c>
      <c r="D59" s="51" t="str">
        <f>正常测算!D59</f>
        <v/>
      </c>
      <c r="E59" s="51" t="str">
        <f t="shared" si="10"/>
        <v/>
      </c>
      <c r="F59" s="52" t="str">
        <f t="shared" si="11"/>
        <v/>
      </c>
      <c r="G59" s="56" t="str">
        <f>IF(C59="","",IF(SUM(C60:C$134)=0,C59-C$7+C$8+G$10+H59+R59,C59+H59+R59))</f>
        <v/>
      </c>
      <c r="H59" s="56">
        <f>正常测算!H59</f>
        <v>0</v>
      </c>
      <c r="I59" s="9" t="str">
        <f t="shared" si="4"/>
        <v/>
      </c>
      <c r="J59" s="9" t="str">
        <f t="shared" si="5"/>
        <v/>
      </c>
      <c r="K59" s="9" t="str">
        <f>IF(M59="","",IF(B60="",SUM($J$13:$J59),SUM($J$13:$J59,$J60*(M59-A59)/(A60-A59))))</f>
        <v/>
      </c>
      <c r="L59" s="9" t="str">
        <f>IF(M59="","",IF(B60="",SUM($D$13:$D59,$R$12:$R59,$G$5:$G$10,$C$9,-$C$10),SUM($D$13:$D59,$R$12:$R59,$G$5:$G$10,$D60*(M59-A59)/(A60-A59),$C$9,-$C$10)))</f>
        <v/>
      </c>
      <c r="M59" s="15" t="str">
        <f t="shared" si="6"/>
        <v/>
      </c>
      <c r="N59" s="30" t="str">
        <f t="shared" si="3"/>
        <v/>
      </c>
      <c r="O59" s="53" t="str">
        <f t="shared" si="12"/>
        <v/>
      </c>
      <c r="P59" s="55" t="str">
        <f t="shared" si="13"/>
        <v/>
      </c>
      <c r="R59" s="56">
        <f>IF($H$1="人民币电汇",0,IF(OR($H$1="原币划转",$H$1="美元结汇"),产品成本表!G72,-产品成本表!E72))+正常测算!R59</f>
        <v>0</v>
      </c>
      <c r="S59" s="64" t="str">
        <f t="shared" si="7"/>
        <v/>
      </c>
      <c r="T59" s="65" t="str">
        <f t="shared" si="8"/>
        <v/>
      </c>
      <c r="U59" s="10" t="str">
        <f>IF(J59="","",J59*IF($E$5&lt;=0.5,产品成本表!$E$3,IF($E$5&lt;=1,产品成本表!$E$4,IF($E$5&lt;=3,产品成本表!$E$5,IF($E$5&lt;=5,产品成本表!$E$6,产品成本表!$E$7)))))</f>
        <v/>
      </c>
    </row>
    <row r="60" spans="1:21">
      <c r="A60" s="49" t="str">
        <f t="shared" si="9"/>
        <v/>
      </c>
      <c r="B60" s="50" t="str">
        <f>IF($E$5*$E$7&lt;48,"",48)</f>
        <v/>
      </c>
      <c r="C60" s="51" t="str">
        <f>正常测算!C60</f>
        <v/>
      </c>
      <c r="D60" s="51" t="str">
        <f>正常测算!D60</f>
        <v/>
      </c>
      <c r="E60" s="51" t="str">
        <f t="shared" si="10"/>
        <v/>
      </c>
      <c r="F60" s="52" t="str">
        <f t="shared" si="11"/>
        <v/>
      </c>
      <c r="G60" s="56" t="str">
        <f>IF(C60="","",IF(SUM(C61:C$134)=0,C60-C$7+C$8+G$10+H60+R60,C60+H60+R60))</f>
        <v/>
      </c>
      <c r="H60" s="56">
        <f>正常测算!H60</f>
        <v>0</v>
      </c>
      <c r="I60" s="9" t="str">
        <f t="shared" si="4"/>
        <v/>
      </c>
      <c r="J60" s="9" t="str">
        <f t="shared" si="5"/>
        <v/>
      </c>
      <c r="K60" s="9" t="str">
        <f>IF(M60="","",IF(B61="",SUM($J$13:$J60),SUM($J$13:$J60,$J61*(M60-A60)/(A61-A60))))</f>
        <v/>
      </c>
      <c r="L60" s="9" t="str">
        <f>IF(M60="","",IF(B61="",SUM($D$13:$D60,$R$12:$R60,$G$5:$G$10,$C$9,-$C$10),SUM($D$13:$D60,$R$12:$R60,$G$5:$G$10,$D61*(M60-A60)/(A61-A60),$C$9,-$C$10)))</f>
        <v/>
      </c>
      <c r="M60" s="15" t="str">
        <f t="shared" si="6"/>
        <v/>
      </c>
      <c r="N60" s="30" t="str">
        <f t="shared" si="3"/>
        <v/>
      </c>
      <c r="O60" s="53" t="str">
        <f t="shared" si="12"/>
        <v/>
      </c>
      <c r="P60" s="55" t="str">
        <f t="shared" si="13"/>
        <v/>
      </c>
      <c r="R60" s="56">
        <f>IF($H$1="人民币电汇",0,IF(OR($H$1="原币划转",$H$1="美元结汇"),产品成本表!G73,-产品成本表!E73))+正常测算!R60</f>
        <v>0</v>
      </c>
      <c r="S60" s="64" t="str">
        <f t="shared" si="7"/>
        <v/>
      </c>
      <c r="T60" s="65" t="str">
        <f t="shared" si="8"/>
        <v/>
      </c>
      <c r="U60" s="10" t="str">
        <f>IF(J60="","",J60*IF($E$5&lt;=0.5,产品成本表!$E$3,IF($E$5&lt;=1,产品成本表!$E$4,IF($E$5&lt;=3,产品成本表!$E$5,IF($E$5&lt;=5,产品成本表!$E$6,产品成本表!$E$7)))))</f>
        <v/>
      </c>
    </row>
    <row r="61" spans="1:21">
      <c r="A61" s="49" t="str">
        <f t="shared" si="9"/>
        <v/>
      </c>
      <c r="B61" s="50" t="str">
        <f>IF($E$5*$E$7&lt;49,"",49)</f>
        <v/>
      </c>
      <c r="C61" s="51" t="str">
        <f>正常测算!C61</f>
        <v/>
      </c>
      <c r="D61" s="51" t="str">
        <f>正常测算!D61</f>
        <v/>
      </c>
      <c r="E61" s="51" t="str">
        <f t="shared" si="10"/>
        <v/>
      </c>
      <c r="F61" s="52" t="str">
        <f t="shared" si="11"/>
        <v/>
      </c>
      <c r="G61" s="56" t="str">
        <f>IF(C61="","",IF(SUM(C62:C$134)=0,C61-C$7+C$8+G$10+H61+R61,C61+H61+R61))</f>
        <v/>
      </c>
      <c r="H61" s="56">
        <f>正常测算!H61</f>
        <v>0</v>
      </c>
      <c r="I61" s="9" t="str">
        <f t="shared" si="4"/>
        <v/>
      </c>
      <c r="J61" s="9" t="str">
        <f t="shared" si="5"/>
        <v/>
      </c>
      <c r="K61" s="9" t="str">
        <f>IF(M61="","",IF(B62="",SUM($J$13:$J61),SUM($J$13:$J61,$J62*(M61-A61)/(A62-A61))))</f>
        <v/>
      </c>
      <c r="L61" s="9" t="str">
        <f>IF(M61="","",IF(B62="",SUM($D$13:$D61,$R$12:$R61,$G$5:$G$10,$C$9,-$C$10),SUM($D$13:$D61,$R$12:$R61,$G$5:$G$10,$D62*(M61-A61)/(A62-A61),$C$9,-$C$10)))</f>
        <v/>
      </c>
      <c r="M61" s="15" t="str">
        <f t="shared" si="6"/>
        <v/>
      </c>
      <c r="N61" s="30" t="str">
        <f t="shared" si="3"/>
        <v/>
      </c>
      <c r="O61" s="53" t="str">
        <f t="shared" si="12"/>
        <v/>
      </c>
      <c r="P61" s="55" t="str">
        <f t="shared" si="13"/>
        <v/>
      </c>
      <c r="R61" s="56">
        <f>IF($H$1="人民币电汇",0,IF(OR($H$1="原币划转",$H$1="美元结汇"),产品成本表!G74,-产品成本表!E74))+正常测算!R61</f>
        <v>0</v>
      </c>
      <c r="S61" s="64" t="str">
        <f t="shared" si="7"/>
        <v/>
      </c>
      <c r="T61" s="65" t="str">
        <f t="shared" si="8"/>
        <v/>
      </c>
      <c r="U61" s="10" t="str">
        <f>IF(J61="","",J61*IF($E$5&lt;=0.5,产品成本表!$E$3,IF($E$5&lt;=1,产品成本表!$E$4,IF($E$5&lt;=3,产品成本表!$E$5,IF($E$5&lt;=5,产品成本表!$E$6,产品成本表!$E$7)))))</f>
        <v/>
      </c>
    </row>
    <row r="62" spans="1:21">
      <c r="A62" s="49" t="str">
        <f t="shared" si="9"/>
        <v/>
      </c>
      <c r="B62" s="50" t="str">
        <f>IF($E$5*$E$7&lt;50,"",50)</f>
        <v/>
      </c>
      <c r="C62" s="51" t="str">
        <f>正常测算!C62</f>
        <v/>
      </c>
      <c r="D62" s="51" t="str">
        <f>正常测算!D62</f>
        <v/>
      </c>
      <c r="E62" s="51" t="str">
        <f t="shared" si="10"/>
        <v/>
      </c>
      <c r="F62" s="52" t="str">
        <f t="shared" si="11"/>
        <v/>
      </c>
      <c r="G62" s="56" t="str">
        <f>IF(C62="","",IF(SUM(C63:C$134)=0,C62-C$7+C$8+G$10+H62+R62,C62+H62+R62))</f>
        <v/>
      </c>
      <c r="H62" s="56">
        <f>正常测算!H62</f>
        <v>0</v>
      </c>
      <c r="I62" s="9" t="str">
        <f t="shared" si="4"/>
        <v/>
      </c>
      <c r="J62" s="9" t="str">
        <f t="shared" si="5"/>
        <v/>
      </c>
      <c r="K62" s="9" t="str">
        <f>IF(M62="","",IF(B63="",SUM($J$13:$J62),SUM($J$13:$J62,$J63*(M62-A62)/(A63-A62))))</f>
        <v/>
      </c>
      <c r="L62" s="9" t="str">
        <f>IF(M62="","",IF(B63="",SUM($D$13:$D62,$R$12:$R62,$G$5:$G$10,$C$9,-$C$10),SUM($D$13:$D62,$R$12:$R62,$G$5:$G$10,$D63*(M62-A62)/(A63-A62),$C$9,-$C$10)))</f>
        <v/>
      </c>
      <c r="M62" s="15" t="str">
        <f t="shared" si="6"/>
        <v/>
      </c>
      <c r="N62" s="30" t="str">
        <f t="shared" si="3"/>
        <v/>
      </c>
      <c r="O62" s="53" t="str">
        <f t="shared" si="12"/>
        <v/>
      </c>
      <c r="P62" s="55" t="str">
        <f t="shared" si="13"/>
        <v/>
      </c>
      <c r="R62" s="56">
        <f>IF($H$1="人民币电汇",0,IF(OR($H$1="原币划转",$H$1="美元结汇"),产品成本表!G75,-产品成本表!E75))+正常测算!R62</f>
        <v>0</v>
      </c>
      <c r="S62" s="64" t="str">
        <f t="shared" si="7"/>
        <v/>
      </c>
      <c r="T62" s="65" t="str">
        <f t="shared" si="8"/>
        <v/>
      </c>
      <c r="U62" s="10" t="str">
        <f>IF(J62="","",J62*IF($E$5&lt;=0.5,产品成本表!$E$3,IF($E$5&lt;=1,产品成本表!$E$4,IF($E$5&lt;=3,产品成本表!$E$5,IF($E$5&lt;=5,产品成本表!$E$6,产品成本表!$E$7)))))</f>
        <v/>
      </c>
    </row>
    <row r="63" spans="1:21">
      <c r="A63" s="49" t="str">
        <f t="shared" si="9"/>
        <v/>
      </c>
      <c r="B63" s="50" t="str">
        <f>IF($E$5*$E$7&lt;51,"",51)</f>
        <v/>
      </c>
      <c r="C63" s="51" t="str">
        <f>正常测算!C63</f>
        <v/>
      </c>
      <c r="D63" s="51" t="str">
        <f>正常测算!D63</f>
        <v/>
      </c>
      <c r="E63" s="51" t="str">
        <f t="shared" si="10"/>
        <v/>
      </c>
      <c r="F63" s="52" t="str">
        <f t="shared" si="11"/>
        <v/>
      </c>
      <c r="G63" s="56" t="str">
        <f>IF(C63="","",IF(SUM(C64:C$134)=0,C63-C$7+C$8+G$10+H63+R63,C63+H63+R63))</f>
        <v/>
      </c>
      <c r="H63" s="56">
        <f>正常测算!H63</f>
        <v>0</v>
      </c>
      <c r="I63" s="9" t="str">
        <f t="shared" si="4"/>
        <v/>
      </c>
      <c r="J63" s="9" t="str">
        <f t="shared" si="5"/>
        <v/>
      </c>
      <c r="K63" s="9" t="str">
        <f>IF(M63="","",IF(B64="",SUM($J$13:$J63),SUM($J$13:$J63,$J64*(M63-A63)/(A64-A63))))</f>
        <v/>
      </c>
      <c r="L63" s="9" t="str">
        <f>IF(M63="","",IF(B64="",SUM($D$13:$D63,$R$12:$R63,$G$5:$G$10,$C$9,-$C$10),SUM($D$13:$D63,$R$12:$R63,$G$5:$G$10,$D64*(M63-A63)/(A64-A63),$C$9,-$C$10)))</f>
        <v/>
      </c>
      <c r="M63" s="15" t="str">
        <f t="shared" si="6"/>
        <v/>
      </c>
      <c r="N63" s="30" t="str">
        <f t="shared" si="3"/>
        <v/>
      </c>
      <c r="O63" s="53" t="str">
        <f t="shared" si="12"/>
        <v/>
      </c>
      <c r="P63" s="55" t="str">
        <f t="shared" si="13"/>
        <v/>
      </c>
      <c r="R63" s="56">
        <f>IF($H$1="人民币电汇",0,IF(OR($H$1="原币划转",$H$1="美元结汇"),产品成本表!G76,-产品成本表!E76))+正常测算!R63</f>
        <v>0</v>
      </c>
      <c r="S63" s="64" t="str">
        <f t="shared" si="7"/>
        <v/>
      </c>
      <c r="T63" s="65" t="str">
        <f t="shared" si="8"/>
        <v/>
      </c>
      <c r="U63" s="10" t="str">
        <f>IF(J63="","",J63*IF($E$5&lt;=0.5,产品成本表!$E$3,IF($E$5&lt;=1,产品成本表!$E$4,IF($E$5&lt;=3,产品成本表!$E$5,IF($E$5&lt;=5,产品成本表!$E$6,产品成本表!$E$7)))))</f>
        <v/>
      </c>
    </row>
    <row r="64" spans="1:21">
      <c r="A64" s="49" t="str">
        <f t="shared" si="9"/>
        <v/>
      </c>
      <c r="B64" s="50" t="str">
        <f>IF($E$5*$E$7&lt;52,"",52)</f>
        <v/>
      </c>
      <c r="C64" s="51" t="str">
        <f>正常测算!C64</f>
        <v/>
      </c>
      <c r="D64" s="51" t="str">
        <f>正常测算!D64</f>
        <v/>
      </c>
      <c r="E64" s="51" t="str">
        <f t="shared" si="10"/>
        <v/>
      </c>
      <c r="F64" s="52" t="str">
        <f t="shared" si="11"/>
        <v/>
      </c>
      <c r="G64" s="56" t="str">
        <f>IF(C64="","",IF(SUM(C65:C$134)=0,C64-C$7+C$8+G$10+H64+R64,C64+H64+R64))</f>
        <v/>
      </c>
      <c r="H64" s="56">
        <f>正常测算!H64</f>
        <v>0</v>
      </c>
      <c r="I64" s="9" t="str">
        <f t="shared" si="4"/>
        <v/>
      </c>
      <c r="J64" s="9" t="str">
        <f t="shared" si="5"/>
        <v/>
      </c>
      <c r="K64" s="9" t="str">
        <f>IF(M64="","",IF(B65="",SUM($J$13:$J64),SUM($J$13:$J64,$J65*(M64-A64)/(A65-A64))))</f>
        <v/>
      </c>
      <c r="L64" s="9" t="str">
        <f>IF(M64="","",IF(B65="",SUM($D$13:$D64,$R$12:$R64,$G$5:$G$10,$C$9,-$C$10),SUM($D$13:$D64,$R$12:$R64,$G$5:$G$10,$D65*(M64-A64)/(A65-A64),$C$9,-$C$10)))</f>
        <v/>
      </c>
      <c r="M64" s="15" t="str">
        <f t="shared" si="6"/>
        <v/>
      </c>
      <c r="N64" s="30" t="str">
        <f t="shared" si="3"/>
        <v/>
      </c>
      <c r="O64" s="53" t="str">
        <f t="shared" si="12"/>
        <v/>
      </c>
      <c r="P64" s="55" t="str">
        <f t="shared" si="13"/>
        <v/>
      </c>
      <c r="R64" s="56">
        <f>IF($H$1="人民币电汇",0,IF(OR($H$1="原币划转",$H$1="美元结汇"),产品成本表!G77,-产品成本表!E77))+正常测算!R64</f>
        <v>0</v>
      </c>
      <c r="S64" s="64" t="str">
        <f t="shared" si="7"/>
        <v/>
      </c>
      <c r="T64" s="65" t="str">
        <f t="shared" si="8"/>
        <v/>
      </c>
      <c r="U64" s="10" t="str">
        <f>IF(J64="","",J64*IF($E$5&lt;=0.5,产品成本表!$E$3,IF($E$5&lt;=1,产品成本表!$E$4,IF($E$5&lt;=3,产品成本表!$E$5,IF($E$5&lt;=5,产品成本表!$E$6,产品成本表!$E$7)))))</f>
        <v/>
      </c>
    </row>
    <row r="65" spans="1:21">
      <c r="A65" s="49" t="str">
        <f t="shared" si="9"/>
        <v/>
      </c>
      <c r="B65" s="50" t="str">
        <f>IF($E$5*$E$7&lt;53,"",53)</f>
        <v/>
      </c>
      <c r="C65" s="51" t="str">
        <f>正常测算!C65</f>
        <v/>
      </c>
      <c r="D65" s="51" t="str">
        <f>正常测算!D65</f>
        <v/>
      </c>
      <c r="E65" s="51" t="str">
        <f t="shared" si="10"/>
        <v/>
      </c>
      <c r="F65" s="52" t="str">
        <f t="shared" si="11"/>
        <v/>
      </c>
      <c r="G65" s="56" t="str">
        <f>IF(C65="","",IF(SUM(C66:C$134)=0,C65-C$7+C$8+G$10+H65+R65,C65+H65+R65))</f>
        <v/>
      </c>
      <c r="H65" s="56">
        <f>正常测算!H65</f>
        <v>0</v>
      </c>
      <c r="I65" s="9" t="str">
        <f t="shared" si="4"/>
        <v/>
      </c>
      <c r="J65" s="9" t="str">
        <f t="shared" si="5"/>
        <v/>
      </c>
      <c r="K65" s="9" t="str">
        <f>IF(M65="","",IF(B66="",SUM($J$13:$J65),SUM($J$13:$J65,$J66*(M65-A65)/(A66-A65))))</f>
        <v/>
      </c>
      <c r="L65" s="9" t="str">
        <f>IF(M65="","",IF(B66="",SUM($D$13:$D65,$R$12:$R65,$G$5:$G$10,$C$9,-$C$10),SUM($D$13:$D65,$R$12:$R65,$G$5:$G$10,$D66*(M65-A65)/(A66-A65),$C$9,-$C$10)))</f>
        <v/>
      </c>
      <c r="M65" s="15" t="str">
        <f t="shared" si="6"/>
        <v/>
      </c>
      <c r="N65" s="30" t="str">
        <f t="shared" si="3"/>
        <v/>
      </c>
      <c r="O65" s="53" t="str">
        <f t="shared" si="12"/>
        <v/>
      </c>
      <c r="P65" s="55" t="str">
        <f t="shared" si="13"/>
        <v/>
      </c>
      <c r="R65" s="56">
        <f>IF($H$1="人民币电汇",0,IF(OR($H$1="原币划转",$H$1="美元结汇"),产品成本表!G78,-产品成本表!E78))+正常测算!R65</f>
        <v>0</v>
      </c>
      <c r="S65" s="64" t="str">
        <f t="shared" si="7"/>
        <v/>
      </c>
      <c r="T65" s="65" t="str">
        <f t="shared" si="8"/>
        <v/>
      </c>
      <c r="U65" s="10" t="str">
        <f>IF(J65="","",J65*IF($E$5&lt;=0.5,产品成本表!$E$3,IF($E$5&lt;=1,产品成本表!$E$4,IF($E$5&lt;=3,产品成本表!$E$5,IF($E$5&lt;=5,产品成本表!$E$6,产品成本表!$E$7)))))</f>
        <v/>
      </c>
    </row>
    <row r="66" spans="1:21">
      <c r="A66" s="49" t="str">
        <f t="shared" si="9"/>
        <v/>
      </c>
      <c r="B66" s="50" t="str">
        <f>IF($E$5*$E$7&lt;54,"",54)</f>
        <v/>
      </c>
      <c r="C66" s="51" t="str">
        <f>正常测算!C66</f>
        <v/>
      </c>
      <c r="D66" s="51" t="str">
        <f>正常测算!D66</f>
        <v/>
      </c>
      <c r="E66" s="51" t="str">
        <f t="shared" si="10"/>
        <v/>
      </c>
      <c r="F66" s="52" t="str">
        <f t="shared" si="11"/>
        <v/>
      </c>
      <c r="G66" s="56" t="str">
        <f>IF(C66="","",IF(SUM(C67:C$134)=0,C66-C$7+C$8+G$10+H66+R66,C66+H66+R66))</f>
        <v/>
      </c>
      <c r="H66" s="56">
        <f>正常测算!H66</f>
        <v>0</v>
      </c>
      <c r="I66" s="9" t="str">
        <f t="shared" si="4"/>
        <v/>
      </c>
      <c r="J66" s="9" t="str">
        <f t="shared" si="5"/>
        <v/>
      </c>
      <c r="K66" s="9" t="str">
        <f>IF(M66="","",IF(B67="",SUM($J$13:$J66),SUM($J$13:$J66,$J67*(M66-A66)/(A67-A66))))</f>
        <v/>
      </c>
      <c r="L66" s="9" t="str">
        <f>IF(M66="","",IF(B67="",SUM($D$13:$D66,$R$12:$R66,$G$5:$G$10,$C$9,-$C$10),SUM($D$13:$D66,$R$12:$R66,$G$5:$G$10,$D67*(M66-A66)/(A67-A66),$C$9,-$C$10)))</f>
        <v/>
      </c>
      <c r="M66" s="15" t="str">
        <f t="shared" si="6"/>
        <v/>
      </c>
      <c r="N66" s="30" t="str">
        <f t="shared" si="3"/>
        <v/>
      </c>
      <c r="O66" s="53" t="str">
        <f t="shared" si="12"/>
        <v/>
      </c>
      <c r="P66" s="55" t="str">
        <f t="shared" si="13"/>
        <v/>
      </c>
      <c r="R66" s="56">
        <f>IF($H$1="人民币电汇",0,IF(OR($H$1="原币划转",$H$1="美元结汇"),产品成本表!G79,-产品成本表!E79))+正常测算!R66</f>
        <v>0</v>
      </c>
      <c r="S66" s="64" t="str">
        <f t="shared" si="7"/>
        <v/>
      </c>
      <c r="T66" s="65" t="str">
        <f t="shared" si="8"/>
        <v/>
      </c>
      <c r="U66" s="10" t="str">
        <f>IF(J66="","",J66*IF($E$5&lt;=0.5,产品成本表!$E$3,IF($E$5&lt;=1,产品成本表!$E$4,IF($E$5&lt;=3,产品成本表!$E$5,IF($E$5&lt;=5,产品成本表!$E$6,产品成本表!$E$7)))))</f>
        <v/>
      </c>
    </row>
    <row r="67" spans="1:21">
      <c r="A67" s="49" t="str">
        <f t="shared" si="9"/>
        <v/>
      </c>
      <c r="B67" s="50" t="str">
        <f>IF($E$5*$E$7&lt;55,"",55)</f>
        <v/>
      </c>
      <c r="C67" s="51" t="str">
        <f>正常测算!C67</f>
        <v/>
      </c>
      <c r="D67" s="51" t="str">
        <f>正常测算!D67</f>
        <v/>
      </c>
      <c r="E67" s="51" t="str">
        <f t="shared" si="10"/>
        <v/>
      </c>
      <c r="F67" s="52" t="str">
        <f t="shared" si="11"/>
        <v/>
      </c>
      <c r="G67" s="56" t="str">
        <f>IF(C67="","",IF(SUM(C68:C$134)=0,C67-C$7+C$8+G$10+H67+R67,C67+H67+R67))</f>
        <v/>
      </c>
      <c r="H67" s="56">
        <f>正常测算!H67</f>
        <v>0</v>
      </c>
      <c r="I67" s="9" t="str">
        <f t="shared" si="4"/>
        <v/>
      </c>
      <c r="J67" s="9" t="str">
        <f t="shared" si="5"/>
        <v/>
      </c>
      <c r="K67" s="9" t="str">
        <f>IF(M67="","",IF(B68="",SUM($J$13:$J67),SUM($J$13:$J67,$J68*(M67-A67)/(A68-A67))))</f>
        <v/>
      </c>
      <c r="L67" s="9" t="str">
        <f>IF(M67="","",IF(B68="",SUM($D$13:$D67,$R$12:$R67,$G$5:$G$10,$C$9,-$C$10),SUM($D$13:$D67,$R$12:$R67,$G$5:$G$10,$D68*(M67-A67)/(A68-A67),$C$9,-$C$10)))</f>
        <v/>
      </c>
      <c r="M67" s="15" t="str">
        <f t="shared" si="6"/>
        <v/>
      </c>
      <c r="N67" s="30" t="str">
        <f t="shared" si="3"/>
        <v/>
      </c>
      <c r="O67" s="53" t="str">
        <f t="shared" si="12"/>
        <v/>
      </c>
      <c r="P67" s="55" t="str">
        <f t="shared" si="13"/>
        <v/>
      </c>
      <c r="R67" s="56">
        <f>IF($H$1="人民币电汇",0,IF(OR($H$1="原币划转",$H$1="美元结汇"),产品成本表!G80,-产品成本表!E80))+正常测算!R67</f>
        <v>0</v>
      </c>
      <c r="S67" s="64" t="str">
        <f t="shared" si="7"/>
        <v/>
      </c>
      <c r="T67" s="65" t="str">
        <f t="shared" si="8"/>
        <v/>
      </c>
      <c r="U67" s="10" t="str">
        <f>IF(J67="","",J67*IF($E$5&lt;=0.5,产品成本表!$E$3,IF($E$5&lt;=1,产品成本表!$E$4,IF($E$5&lt;=3,产品成本表!$E$5,IF($E$5&lt;=5,产品成本表!$E$6,产品成本表!$E$7)))))</f>
        <v/>
      </c>
    </row>
    <row r="68" spans="1:21">
      <c r="A68" s="49" t="str">
        <f t="shared" si="9"/>
        <v/>
      </c>
      <c r="B68" s="50" t="str">
        <f>IF($E$5*$E$7&lt;56,"",56)</f>
        <v/>
      </c>
      <c r="C68" s="51" t="str">
        <f>正常测算!C68</f>
        <v/>
      </c>
      <c r="D68" s="51" t="str">
        <f>正常测算!D68</f>
        <v/>
      </c>
      <c r="E68" s="51" t="str">
        <f t="shared" si="10"/>
        <v/>
      </c>
      <c r="F68" s="52" t="str">
        <f t="shared" si="11"/>
        <v/>
      </c>
      <c r="G68" s="56" t="str">
        <f>IF(C68="","",IF(SUM(C69:C$134)=0,C68-C$7+C$8+G$10+H68+R68,C68+H68+R68))</f>
        <v/>
      </c>
      <c r="H68" s="56">
        <f>正常测算!H68</f>
        <v>0</v>
      </c>
      <c r="I68" s="9" t="str">
        <f t="shared" si="4"/>
        <v/>
      </c>
      <c r="J68" s="9" t="str">
        <f t="shared" si="5"/>
        <v/>
      </c>
      <c r="K68" s="9" t="str">
        <f>IF(M68="","",IF(B69="",SUM($J$13:$J68),SUM($J$13:$J68,$J69*(M68-A68)/(A69-A68))))</f>
        <v/>
      </c>
      <c r="L68" s="9" t="str">
        <f>IF(M68="","",IF(B69="",SUM($D$13:$D68,$R$12:$R68,$G$5:$G$10,$C$9,-$C$10),SUM($D$13:$D68,$R$12:$R68,$G$5:$G$10,$D69*(M68-A68)/(A69-A68),$C$9,-$C$10)))</f>
        <v/>
      </c>
      <c r="M68" s="15" t="str">
        <f t="shared" si="6"/>
        <v/>
      </c>
      <c r="N68" s="30" t="str">
        <f t="shared" si="3"/>
        <v/>
      </c>
      <c r="O68" s="53" t="str">
        <f t="shared" si="12"/>
        <v/>
      </c>
      <c r="P68" s="55" t="str">
        <f t="shared" si="13"/>
        <v/>
      </c>
      <c r="R68" s="56">
        <f>IF($H$1="人民币电汇",0,IF(OR($H$1="原币划转",$H$1="美元结汇"),产品成本表!G81,-产品成本表!E81))+正常测算!R68</f>
        <v>0</v>
      </c>
      <c r="S68" s="64" t="str">
        <f t="shared" si="7"/>
        <v/>
      </c>
      <c r="T68" s="65" t="str">
        <f t="shared" si="8"/>
        <v/>
      </c>
      <c r="U68" s="10" t="str">
        <f>IF(J68="","",J68*IF($E$5&lt;=0.5,产品成本表!$E$3,IF($E$5&lt;=1,产品成本表!$E$4,IF($E$5&lt;=3,产品成本表!$E$5,IF($E$5&lt;=5,产品成本表!$E$6,产品成本表!$E$7)))))</f>
        <v/>
      </c>
    </row>
    <row r="69" spans="1:21">
      <c r="A69" s="49" t="str">
        <f t="shared" si="9"/>
        <v/>
      </c>
      <c r="B69" s="50" t="str">
        <f>IF($E$5*$E$7&lt;57,"",57)</f>
        <v/>
      </c>
      <c r="C69" s="51" t="str">
        <f>正常测算!C69</f>
        <v/>
      </c>
      <c r="D69" s="51" t="str">
        <f>正常测算!D69</f>
        <v/>
      </c>
      <c r="E69" s="51" t="str">
        <f t="shared" si="10"/>
        <v/>
      </c>
      <c r="F69" s="52" t="str">
        <f t="shared" si="11"/>
        <v/>
      </c>
      <c r="G69" s="56" t="str">
        <f>IF(C69="","",IF(SUM(C70:C$134)=0,C69-C$7+C$8+G$10+H69+R69,C69+H69+R69))</f>
        <v/>
      </c>
      <c r="H69" s="56">
        <f>正常测算!H69</f>
        <v>0</v>
      </c>
      <c r="I69" s="9" t="str">
        <f t="shared" si="4"/>
        <v/>
      </c>
      <c r="J69" s="9" t="str">
        <f t="shared" si="5"/>
        <v/>
      </c>
      <c r="K69" s="9" t="str">
        <f>IF(M69="","",IF(B70="",SUM($J$13:$J69),SUM($J$13:$J69,$J70*(M69-A69)/(A70-A69))))</f>
        <v/>
      </c>
      <c r="L69" s="9" t="str">
        <f>IF(M69="","",IF(B70="",SUM($D$13:$D69,$R$12:$R69,$G$5:$G$10,$C$9,-$C$10),SUM($D$13:$D69,$R$12:$R69,$G$5:$G$10,$D70*(M69-A69)/(A70-A69),$C$9,-$C$10)))</f>
        <v/>
      </c>
      <c r="M69" s="15" t="str">
        <f t="shared" si="6"/>
        <v/>
      </c>
      <c r="N69" s="30" t="str">
        <f t="shared" si="3"/>
        <v/>
      </c>
      <c r="O69" s="53" t="str">
        <f t="shared" si="12"/>
        <v/>
      </c>
      <c r="P69" s="55" t="str">
        <f t="shared" si="13"/>
        <v/>
      </c>
      <c r="R69" s="56">
        <f>IF($H$1="人民币电汇",0,IF(OR($H$1="原币划转",$H$1="美元结汇"),产品成本表!G82,-产品成本表!E82))+正常测算!R69</f>
        <v>0</v>
      </c>
      <c r="S69" s="64" t="str">
        <f t="shared" si="7"/>
        <v/>
      </c>
      <c r="T69" s="65" t="str">
        <f t="shared" si="8"/>
        <v/>
      </c>
      <c r="U69" s="10" t="str">
        <f>IF(J69="","",J69*IF($E$5&lt;=0.5,产品成本表!$E$3,IF($E$5&lt;=1,产品成本表!$E$4,IF($E$5&lt;=3,产品成本表!$E$5,IF($E$5&lt;=5,产品成本表!$E$6,产品成本表!$E$7)))))</f>
        <v/>
      </c>
    </row>
    <row r="70" spans="1:21">
      <c r="A70" s="49" t="str">
        <f t="shared" si="9"/>
        <v/>
      </c>
      <c r="B70" s="50" t="str">
        <f>IF($E$5*$E$7&lt;58,"",58)</f>
        <v/>
      </c>
      <c r="C70" s="51" t="str">
        <f>正常测算!C70</f>
        <v/>
      </c>
      <c r="D70" s="51" t="str">
        <f>正常测算!D70</f>
        <v/>
      </c>
      <c r="E70" s="51" t="str">
        <f t="shared" si="10"/>
        <v/>
      </c>
      <c r="F70" s="52" t="str">
        <f t="shared" si="11"/>
        <v/>
      </c>
      <c r="G70" s="56" t="str">
        <f>IF(C70="","",IF(SUM(C71:C$134)=0,C70-C$7+C$8+G$10+H70+R70,C70+H70+R70))</f>
        <v/>
      </c>
      <c r="H70" s="56">
        <f>正常测算!H70</f>
        <v>0</v>
      </c>
      <c r="I70" s="9" t="str">
        <f t="shared" si="4"/>
        <v/>
      </c>
      <c r="J70" s="9" t="str">
        <f t="shared" si="5"/>
        <v/>
      </c>
      <c r="K70" s="9" t="str">
        <f>IF(M70="","",IF(B71="",SUM($J$13:$J70),SUM($J$13:$J70,$J71*(M70-A70)/(A71-A70))))</f>
        <v/>
      </c>
      <c r="L70" s="9" t="str">
        <f>IF(M70="","",IF(B71="",SUM($D$13:$D70,$R$12:$R70,$G$5:$G$10,$C$9,-$C$10),SUM($D$13:$D70,$R$12:$R70,$G$5:$G$10,$D71*(M70-A70)/(A71-A70),$C$9,-$C$10)))</f>
        <v/>
      </c>
      <c r="M70" s="15" t="str">
        <f t="shared" si="6"/>
        <v/>
      </c>
      <c r="N70" s="30" t="str">
        <f t="shared" si="3"/>
        <v/>
      </c>
      <c r="O70" s="53" t="str">
        <f t="shared" si="12"/>
        <v/>
      </c>
      <c r="P70" s="55" t="str">
        <f t="shared" si="13"/>
        <v/>
      </c>
      <c r="R70" s="56">
        <f>IF($H$1="人民币电汇",0,IF(OR($H$1="原币划转",$H$1="美元结汇"),产品成本表!G83,-产品成本表!E83))+正常测算!R70</f>
        <v>0</v>
      </c>
      <c r="S70" s="64" t="str">
        <f t="shared" si="7"/>
        <v/>
      </c>
      <c r="T70" s="65" t="str">
        <f t="shared" si="8"/>
        <v/>
      </c>
      <c r="U70" s="10" t="str">
        <f>IF(J70="","",J70*IF($E$5&lt;=0.5,产品成本表!$E$3,IF($E$5&lt;=1,产品成本表!$E$4,IF($E$5&lt;=3,产品成本表!$E$5,IF($E$5&lt;=5,产品成本表!$E$6,产品成本表!$E$7)))))</f>
        <v/>
      </c>
    </row>
    <row r="71" spans="1:21">
      <c r="A71" s="49" t="str">
        <f t="shared" si="9"/>
        <v/>
      </c>
      <c r="B71" s="50" t="str">
        <f>IF($E$5*$E$7&lt;59,"",59)</f>
        <v/>
      </c>
      <c r="C71" s="51" t="str">
        <f>正常测算!C71</f>
        <v/>
      </c>
      <c r="D71" s="51" t="str">
        <f>正常测算!D71</f>
        <v/>
      </c>
      <c r="E71" s="51" t="str">
        <f t="shared" si="10"/>
        <v/>
      </c>
      <c r="F71" s="52" t="str">
        <f t="shared" si="11"/>
        <v/>
      </c>
      <c r="G71" s="56" t="str">
        <f>IF(C71="","",IF(SUM(C72:C$134)=0,C71-C$7+C$8+G$10+H71+R71,C71+H71+R71))</f>
        <v/>
      </c>
      <c r="H71" s="56">
        <f>正常测算!H71</f>
        <v>0</v>
      </c>
      <c r="I71" s="9" t="str">
        <f t="shared" si="4"/>
        <v/>
      </c>
      <c r="J71" s="9" t="str">
        <f t="shared" si="5"/>
        <v/>
      </c>
      <c r="K71" s="9" t="str">
        <f>IF(M71="","",IF(B72="",SUM($J$13:$J71),SUM($J$13:$J71,$J72*(M71-A71)/(A72-A71))))</f>
        <v/>
      </c>
      <c r="L71" s="9" t="str">
        <f>IF(M71="","",IF(B72="",SUM($D$13:$D71,$R$12:$R71,$G$5:$G$10,$C$9,-$C$10),SUM($D$13:$D71,$R$12:$R71,$G$5:$G$10,$D72*(M71-A71)/(A72-A71),$C$9,-$C$10)))</f>
        <v/>
      </c>
      <c r="M71" s="15" t="str">
        <f t="shared" si="6"/>
        <v/>
      </c>
      <c r="N71" s="30" t="str">
        <f t="shared" si="3"/>
        <v/>
      </c>
      <c r="O71" s="53" t="str">
        <f t="shared" si="12"/>
        <v/>
      </c>
      <c r="P71" s="55" t="str">
        <f t="shared" si="13"/>
        <v/>
      </c>
      <c r="R71" s="56">
        <f>IF($H$1="人民币电汇",0,IF(OR($H$1="原币划转",$H$1="美元结汇"),产品成本表!G84,-产品成本表!E84))+正常测算!R71</f>
        <v>0</v>
      </c>
      <c r="S71" s="64" t="str">
        <f t="shared" si="7"/>
        <v/>
      </c>
      <c r="T71" s="65" t="str">
        <f t="shared" si="8"/>
        <v/>
      </c>
      <c r="U71" s="10" t="str">
        <f>IF(J71="","",J71*IF($E$5&lt;=0.5,产品成本表!$E$3,IF($E$5&lt;=1,产品成本表!$E$4,IF($E$5&lt;=3,产品成本表!$E$5,IF($E$5&lt;=5,产品成本表!$E$6,产品成本表!$E$7)))))</f>
        <v/>
      </c>
    </row>
    <row r="72" spans="1:21">
      <c r="A72" s="49" t="str">
        <f t="shared" si="9"/>
        <v/>
      </c>
      <c r="B72" s="50" t="str">
        <f>IF($E$5*$E$7&lt;60,"",60)</f>
        <v/>
      </c>
      <c r="C72" s="51" t="str">
        <f>正常测算!C72</f>
        <v/>
      </c>
      <c r="D72" s="51" t="str">
        <f>正常测算!D72</f>
        <v/>
      </c>
      <c r="E72" s="51" t="str">
        <f t="shared" si="10"/>
        <v/>
      </c>
      <c r="F72" s="52" t="str">
        <f t="shared" si="11"/>
        <v/>
      </c>
      <c r="G72" s="56" t="str">
        <f>IF(C72="","",IF(SUM(C73:C$134)=0,C72-C$7+C$8+G$10+H72+R72,C72+H72+R72))</f>
        <v/>
      </c>
      <c r="H72" s="56">
        <f>正常测算!H72</f>
        <v>0</v>
      </c>
      <c r="I72" s="9" t="str">
        <f t="shared" si="4"/>
        <v/>
      </c>
      <c r="J72" s="9" t="str">
        <f t="shared" si="5"/>
        <v/>
      </c>
      <c r="K72" s="9" t="str">
        <f>IF(M72="","",IF(B73="",SUM($J$13:$J72),SUM($J$13:$J72,$J73*(M72-A72)/(A73-A72))))</f>
        <v/>
      </c>
      <c r="L72" s="9" t="str">
        <f>IF(M72="","",IF(B73="",SUM($D$13:$D72,$R$12:$R72,$G$5:$G$10,$C$9,-$C$10),SUM($D$13:$D72,$R$12:$R72,$G$5:$G$10,$D73*(M72-A72)/(A73-A72),$C$9,-$C$10)))</f>
        <v/>
      </c>
      <c r="M72" s="15" t="str">
        <f t="shared" si="6"/>
        <v/>
      </c>
      <c r="N72" s="30" t="str">
        <f t="shared" si="3"/>
        <v/>
      </c>
      <c r="O72" s="53" t="str">
        <f t="shared" si="12"/>
        <v/>
      </c>
      <c r="P72" s="55" t="str">
        <f t="shared" si="13"/>
        <v/>
      </c>
      <c r="R72" s="56">
        <f>IF($H$1="人民币电汇",0,IF(OR($H$1="原币划转",$H$1="美元结汇"),产品成本表!G85,-产品成本表!E85))+正常测算!R72</f>
        <v>0</v>
      </c>
      <c r="S72" s="64" t="str">
        <f t="shared" si="7"/>
        <v/>
      </c>
      <c r="T72" s="65" t="str">
        <f t="shared" si="8"/>
        <v/>
      </c>
      <c r="U72" s="10" t="str">
        <f>IF(J72="","",J72*IF($E$5&lt;=0.5,产品成本表!$E$3,IF($E$5&lt;=1,产品成本表!$E$4,IF($E$5&lt;=3,产品成本表!$E$5,IF($E$5&lt;=5,产品成本表!$E$6,产品成本表!$E$7)))))</f>
        <v/>
      </c>
    </row>
    <row r="73" spans="1:21">
      <c r="A73" s="49" t="str">
        <f t="shared" si="9"/>
        <v/>
      </c>
      <c r="B73" s="50" t="str">
        <f>IF($E$5*$E$7&lt;61,"",61)</f>
        <v/>
      </c>
      <c r="C73" s="51" t="str">
        <f>正常测算!C73</f>
        <v/>
      </c>
      <c r="D73" s="51" t="str">
        <f>正常测算!D73</f>
        <v/>
      </c>
      <c r="E73" s="51" t="str">
        <f t="shared" si="10"/>
        <v/>
      </c>
      <c r="F73" s="52" t="str">
        <f t="shared" si="11"/>
        <v/>
      </c>
      <c r="G73" s="56" t="str">
        <f>IF(C73="","",IF(SUM(C74:C$134)=0,C73-C$7+C$8+G$10+H73+R73,C73+H73+R73))</f>
        <v/>
      </c>
      <c r="H73" s="56">
        <f>正常测算!H73</f>
        <v>0</v>
      </c>
      <c r="I73" s="9" t="str">
        <f t="shared" si="4"/>
        <v/>
      </c>
      <c r="J73" s="9" t="str">
        <f t="shared" si="5"/>
        <v/>
      </c>
      <c r="K73" s="9" t="str">
        <f>IF(M73="","",IF(B74="",SUM($J$13:$J73),SUM($J$13:$J73,$J74*(M73-A73)/(A74-A73))))</f>
        <v/>
      </c>
      <c r="L73" s="9" t="str">
        <f>IF(M73="","",IF(B74="",SUM($D$13:$D73,$R$12:$R73,$G$5:$G$10,$C$9,-$C$10),SUM($D$13:$D73,$R$12:$R73,$G$5:$G$10,$D74*(M73-A73)/(A74-A73),$C$9,-$C$10)))</f>
        <v/>
      </c>
      <c r="M73" s="15" t="str">
        <f t="shared" si="6"/>
        <v/>
      </c>
      <c r="N73" s="30" t="str">
        <f t="shared" si="3"/>
        <v/>
      </c>
      <c r="O73" s="53" t="str">
        <f t="shared" si="12"/>
        <v/>
      </c>
      <c r="P73" s="55" t="str">
        <f t="shared" si="13"/>
        <v/>
      </c>
      <c r="R73" s="56">
        <f>IF($H$1="人民币电汇",0,IF(OR($H$1="原币划转",$H$1="美元结汇"),产品成本表!G86,-产品成本表!E86))+正常测算!R73</f>
        <v>0</v>
      </c>
      <c r="S73" s="64" t="str">
        <f t="shared" si="7"/>
        <v/>
      </c>
      <c r="T73" s="65" t="str">
        <f t="shared" si="8"/>
        <v/>
      </c>
      <c r="U73" s="10" t="str">
        <f>IF(J73="","",J73*IF($E$5&lt;=0.5,产品成本表!$E$3,IF($E$5&lt;=1,产品成本表!$E$4,IF($E$5&lt;=3,产品成本表!$E$5,IF($E$5&lt;=5,产品成本表!$E$6,产品成本表!$E$7)))))</f>
        <v/>
      </c>
    </row>
    <row r="74" spans="1:21">
      <c r="A74" s="49" t="str">
        <f t="shared" si="9"/>
        <v/>
      </c>
      <c r="B74" s="50" t="str">
        <f>IF($E$5*$E$7&lt;62,"",62)</f>
        <v/>
      </c>
      <c r="C74" s="51" t="str">
        <f>正常测算!C74</f>
        <v/>
      </c>
      <c r="D74" s="51" t="str">
        <f>正常测算!D74</f>
        <v/>
      </c>
      <c r="E74" s="51" t="str">
        <f t="shared" si="10"/>
        <v/>
      </c>
      <c r="F74" s="52" t="str">
        <f t="shared" si="11"/>
        <v/>
      </c>
      <c r="G74" s="56" t="str">
        <f>IF(C74="","",IF(SUM(C75:C$134)=0,C74-C$7+C$8+G$10+H74+R74,C74+H74+R74))</f>
        <v/>
      </c>
      <c r="H74" s="56">
        <f>正常测算!H74</f>
        <v>0</v>
      </c>
      <c r="I74" s="9" t="str">
        <f t="shared" si="4"/>
        <v/>
      </c>
      <c r="J74" s="9" t="str">
        <f t="shared" si="5"/>
        <v/>
      </c>
      <c r="K74" s="9" t="str">
        <f>IF(M74="","",IF(B75="",SUM($J$13:$J74),SUM($J$13:$J74,$J75*(M74-A74)/(A75-A74))))</f>
        <v/>
      </c>
      <c r="L74" s="9" t="str">
        <f>IF(M74="","",IF(B75="",SUM($D$13:$D74,$R$12:$R74,$G$5:$G$10,$C$9,-$C$10),SUM($D$13:$D74,$R$12:$R74,$G$5:$G$10,$D75*(M74-A74)/(A75-A74),$C$9,-$C$10)))</f>
        <v/>
      </c>
      <c r="M74" s="15" t="str">
        <f t="shared" si="6"/>
        <v/>
      </c>
      <c r="N74" s="30" t="str">
        <f t="shared" si="3"/>
        <v/>
      </c>
      <c r="O74" s="53" t="str">
        <f t="shared" si="12"/>
        <v/>
      </c>
      <c r="P74" s="55" t="str">
        <f t="shared" si="13"/>
        <v/>
      </c>
      <c r="R74" s="56">
        <f>IF($H$1="人民币电汇",0,IF(OR($H$1="原币划转",$H$1="美元结汇"),产品成本表!G87,-产品成本表!E87))+正常测算!R74</f>
        <v>0</v>
      </c>
      <c r="S74" s="64" t="str">
        <f t="shared" si="7"/>
        <v/>
      </c>
      <c r="T74" s="65" t="str">
        <f t="shared" si="8"/>
        <v/>
      </c>
      <c r="U74" s="10" t="str">
        <f>IF(J74="","",J74*IF($E$5&lt;=0.5,产品成本表!$E$3,IF($E$5&lt;=1,产品成本表!$E$4,IF($E$5&lt;=3,产品成本表!$E$5,IF($E$5&lt;=5,产品成本表!$E$6,产品成本表!$E$7)))))</f>
        <v/>
      </c>
    </row>
    <row r="75" spans="1:21">
      <c r="A75" s="49" t="str">
        <f t="shared" si="9"/>
        <v/>
      </c>
      <c r="B75" s="50" t="str">
        <f>IF($E$5*$E$7&lt;63,"",63)</f>
        <v/>
      </c>
      <c r="C75" s="51" t="str">
        <f>正常测算!C75</f>
        <v/>
      </c>
      <c r="D75" s="51" t="str">
        <f>正常测算!D75</f>
        <v/>
      </c>
      <c r="E75" s="51" t="str">
        <f t="shared" si="10"/>
        <v/>
      </c>
      <c r="F75" s="52" t="str">
        <f t="shared" si="11"/>
        <v/>
      </c>
      <c r="G75" s="56" t="str">
        <f>IF(C75="","",IF(SUM(C76:C$134)=0,C75-C$7+C$8+G$10+H75+R75,C75+H75+R75))</f>
        <v/>
      </c>
      <c r="H75" s="56">
        <f>正常测算!H75</f>
        <v>0</v>
      </c>
      <c r="I75" s="9" t="str">
        <f t="shared" si="4"/>
        <v/>
      </c>
      <c r="J75" s="9" t="str">
        <f t="shared" si="5"/>
        <v/>
      </c>
      <c r="K75" s="9" t="str">
        <f>IF(M75="","",IF(B76="",SUM($J$13:$J75),SUM($J$13:$J75,$J76*(M75-A75)/(A76-A75))))</f>
        <v/>
      </c>
      <c r="L75" s="9" t="str">
        <f>IF(M75="","",IF(B76="",SUM($D$13:$D75,$R$12:$R75,$G$5:$G$10,$C$9,-$C$10),SUM($D$13:$D75,$R$12:$R75,$G$5:$G$10,$D76*(M75-A75)/(A76-A75),$C$9,-$C$10)))</f>
        <v/>
      </c>
      <c r="M75" s="15" t="str">
        <f t="shared" si="6"/>
        <v/>
      </c>
      <c r="N75" s="30" t="str">
        <f t="shared" si="3"/>
        <v/>
      </c>
      <c r="O75" s="53" t="str">
        <f t="shared" si="12"/>
        <v/>
      </c>
      <c r="P75" s="55" t="str">
        <f t="shared" si="13"/>
        <v/>
      </c>
      <c r="R75" s="56">
        <f>IF($H$1="人民币电汇",0,IF(OR($H$1="原币划转",$H$1="美元结汇"),产品成本表!G88,-产品成本表!E88))+正常测算!R75</f>
        <v>0</v>
      </c>
      <c r="S75" s="64" t="str">
        <f t="shared" si="7"/>
        <v/>
      </c>
      <c r="T75" s="65" t="str">
        <f t="shared" si="8"/>
        <v/>
      </c>
      <c r="U75" s="10" t="str">
        <f>IF(J75="","",J75*IF($E$5&lt;=0.5,产品成本表!$E$3,IF($E$5&lt;=1,产品成本表!$E$4,IF($E$5&lt;=3,产品成本表!$E$5,IF($E$5&lt;=5,产品成本表!$E$6,产品成本表!$E$7)))))</f>
        <v/>
      </c>
    </row>
    <row r="76" spans="1:21">
      <c r="A76" s="49" t="str">
        <f t="shared" si="9"/>
        <v/>
      </c>
      <c r="B76" s="50" t="str">
        <f>IF($E$5*$E$7&lt;64,"",64)</f>
        <v/>
      </c>
      <c r="C76" s="51" t="str">
        <f>正常测算!C76</f>
        <v/>
      </c>
      <c r="D76" s="51" t="str">
        <f>正常测算!D76</f>
        <v/>
      </c>
      <c r="E76" s="51" t="str">
        <f t="shared" si="10"/>
        <v/>
      </c>
      <c r="F76" s="52" t="str">
        <f t="shared" si="11"/>
        <v/>
      </c>
      <c r="G76" s="56" t="str">
        <f>IF(C76="","",IF(SUM(C77:C$134)=0,C76-C$7+C$8+G$10+H76+R76,C76+H76+R76))</f>
        <v/>
      </c>
      <c r="H76" s="56">
        <f>正常测算!H76</f>
        <v>0</v>
      </c>
      <c r="I76" s="9" t="str">
        <f t="shared" si="4"/>
        <v/>
      </c>
      <c r="J76" s="9" t="str">
        <f t="shared" si="5"/>
        <v/>
      </c>
      <c r="K76" s="9" t="str">
        <f>IF(M76="","",IF(B77="",SUM($J$13:$J76),SUM($J$13:$J76,$J77*(M76-A76)/(A77-A76))))</f>
        <v/>
      </c>
      <c r="L76" s="9" t="str">
        <f>IF(M76="","",IF(B77="",SUM($D$13:$D76,$R$12:$R76,$G$5:$G$10,$C$9,-$C$10),SUM($D$13:$D76,$R$12:$R76,$G$5:$G$10,$D77*(M76-A76)/(A77-A76),$C$9,-$C$10)))</f>
        <v/>
      </c>
      <c r="M76" s="15" t="str">
        <f t="shared" si="6"/>
        <v/>
      </c>
      <c r="N76" s="30" t="str">
        <f t="shared" si="3"/>
        <v/>
      </c>
      <c r="O76" s="53" t="str">
        <f t="shared" si="12"/>
        <v/>
      </c>
      <c r="P76" s="55" t="str">
        <f t="shared" si="13"/>
        <v/>
      </c>
      <c r="R76" s="56">
        <f>IF($H$1="人民币电汇",0,IF(OR($H$1="原币划转",$H$1="美元结汇"),产品成本表!G89,-产品成本表!E89))+正常测算!R76</f>
        <v>0</v>
      </c>
      <c r="S76" s="64" t="str">
        <f t="shared" si="7"/>
        <v/>
      </c>
      <c r="T76" s="65" t="str">
        <f t="shared" si="8"/>
        <v/>
      </c>
      <c r="U76" s="10" t="str">
        <f>IF(J76="","",J76*IF($E$5&lt;=0.5,产品成本表!$E$3,IF($E$5&lt;=1,产品成本表!$E$4,IF($E$5&lt;=3,产品成本表!$E$5,IF($E$5&lt;=5,产品成本表!$E$6,产品成本表!$E$7)))))</f>
        <v/>
      </c>
    </row>
    <row r="77" spans="1:21">
      <c r="A77" s="49" t="str">
        <f t="shared" si="9"/>
        <v/>
      </c>
      <c r="B77" s="50" t="str">
        <f>IF($E$5*$E$7&lt;65,"",65)</f>
        <v/>
      </c>
      <c r="C77" s="51" t="str">
        <f>正常测算!C77</f>
        <v/>
      </c>
      <c r="D77" s="51" t="str">
        <f>正常测算!D77</f>
        <v/>
      </c>
      <c r="E77" s="51" t="str">
        <f t="shared" si="10"/>
        <v/>
      </c>
      <c r="F77" s="52" t="str">
        <f t="shared" si="11"/>
        <v/>
      </c>
      <c r="G77" s="56" t="str">
        <f>IF(C77="","",IF(SUM(C78:C$134)=0,C77-C$7+C$8+G$10+H77+R77,C77+H77+R77))</f>
        <v/>
      </c>
      <c r="H77" s="56">
        <f>正常测算!H77</f>
        <v>0</v>
      </c>
      <c r="I77" s="9" t="str">
        <f t="shared" si="4"/>
        <v/>
      </c>
      <c r="J77" s="9" t="str">
        <f t="shared" si="5"/>
        <v/>
      </c>
      <c r="K77" s="9" t="str">
        <f>IF(M77="","",IF(B78="",SUM($J$13:$J77),SUM($J$13:$J77,$J78*(M77-A77)/(A78-A77))))</f>
        <v/>
      </c>
      <c r="L77" s="9" t="str">
        <f>IF(M77="","",IF(B78="",SUM($D$13:$D77,$R$12:$R77,$G$5:$G$10,$C$9,-$C$10),SUM($D$13:$D77,$R$12:$R77,$G$5:$G$10,$D78*(M77-A77)/(A78-A77),$C$9,-$C$10)))</f>
        <v/>
      </c>
      <c r="M77" s="15" t="str">
        <f t="shared" si="6"/>
        <v/>
      </c>
      <c r="N77" s="30" t="str">
        <f t="shared" ref="N77:N134" si="14">IF(A77="","",YEAR(A77))</f>
        <v/>
      </c>
      <c r="O77" s="53" t="str">
        <f t="shared" si="12"/>
        <v/>
      </c>
      <c r="P77" s="55" t="str">
        <f t="shared" si="13"/>
        <v/>
      </c>
      <c r="R77" s="56">
        <f>IF($H$1="人民币电汇",0,IF(OR($H$1="原币划转",$H$1="美元结汇"),产品成本表!G90,-产品成本表!E90))+正常测算!R77</f>
        <v>0</v>
      </c>
      <c r="S77" s="64" t="str">
        <f t="shared" ref="S77:S134" si="15">A77</f>
        <v/>
      </c>
      <c r="T77" s="65" t="str">
        <f t="shared" si="8"/>
        <v/>
      </c>
      <c r="U77" s="10" t="str">
        <f>IF(J77="","",J77*IF($E$5&lt;=0.5,产品成本表!$E$3,IF($E$5&lt;=1,产品成本表!$E$4,IF($E$5&lt;=3,产品成本表!$E$5,IF($E$5&lt;=5,产品成本表!$E$6,产品成本表!$E$7)))))</f>
        <v/>
      </c>
    </row>
    <row r="78" spans="1:21">
      <c r="A78" s="49" t="str">
        <f t="shared" si="9"/>
        <v/>
      </c>
      <c r="B78" s="50" t="str">
        <f>IF($E$5*$E$7&lt;66,"",66)</f>
        <v/>
      </c>
      <c r="C78" s="51" t="str">
        <f>正常测算!C78</f>
        <v/>
      </c>
      <c r="D78" s="51" t="str">
        <f>正常测算!D78</f>
        <v/>
      </c>
      <c r="E78" s="51" t="str">
        <f t="shared" si="10"/>
        <v/>
      </c>
      <c r="F78" s="52" t="str">
        <f t="shared" si="11"/>
        <v/>
      </c>
      <c r="G78" s="56" t="str">
        <f>IF(C78="","",IF(SUM(C79:C$134)=0,C78-C$7+C$8+G$10+H78+R78,C78+H78+R78))</f>
        <v/>
      </c>
      <c r="H78" s="56">
        <f>正常测算!H78</f>
        <v>0</v>
      </c>
      <c r="I78" s="9" t="str">
        <f t="shared" ref="I78:I133" si="16">IF(A79="","",I77-E78-H78)</f>
        <v/>
      </c>
      <c r="J78" s="9" t="str">
        <f t="shared" ref="J78:J134" si="17">IF(I77="","",I77*(A78-A77)/365)</f>
        <v/>
      </c>
      <c r="K78" s="9" t="str">
        <f>IF(M78="","",IF(B79="",SUM($J$13:$J78),SUM($J$13:$J78,$J79*(M78-A78)/(A79-A78))))</f>
        <v/>
      </c>
      <c r="L78" s="9" t="str">
        <f>IF(M78="","",IF(B79="",SUM($D$13:$D78,$R$12:$R78,$G$5:$G$10,$C$9,-$C$10),SUM($D$13:$D78,$R$12:$R78,$G$5:$G$10,$D79*(M78-A78)/(A79-A78),$C$9,-$C$10)))</f>
        <v/>
      </c>
      <c r="M78" s="15" t="str">
        <f t="shared" ref="M78:M134" si="18">IF(N78=N79,"",IF(A79="",A78,DATE(YEAR(A78),MONTH($J$12),DAY($J$12))))</f>
        <v/>
      </c>
      <c r="N78" s="30" t="str">
        <f t="shared" si="14"/>
        <v/>
      </c>
      <c r="O78" s="53" t="str">
        <f t="shared" si="12"/>
        <v/>
      </c>
      <c r="P78" s="55" t="str">
        <f t="shared" si="13"/>
        <v/>
      </c>
      <c r="R78" s="56">
        <f>IF($H$1="人民币电汇",0,IF(OR($H$1="原币划转",$H$1="美元结汇"),产品成本表!G91,-产品成本表!E91))+正常测算!R78</f>
        <v>0</v>
      </c>
      <c r="S78" s="64" t="str">
        <f t="shared" si="15"/>
        <v/>
      </c>
      <c r="T78" s="65" t="str">
        <f t="shared" ref="T78:T134" si="19">G78</f>
        <v/>
      </c>
      <c r="U78" s="10" t="str">
        <f>IF(J78="","",J78*IF($E$5&lt;=0.5,产品成本表!$E$3,IF($E$5&lt;=1,产品成本表!$E$4,IF($E$5&lt;=3,产品成本表!$E$5,IF($E$5&lt;=5,产品成本表!$E$6,产品成本表!$E$7)))))</f>
        <v/>
      </c>
    </row>
    <row r="79" spans="1:21">
      <c r="A79" s="49" t="str">
        <f t="shared" ref="A79:A134" si="20">IF(B79&lt;=($E$5*$E$7),IF(DATE(YEAR(A78),MONTH(A78)+12/$E$7+1,DAY(1))-1&lt;DATE(YEAR(A78),MONTH(A78)+12/$E$7,DAY($A$12)),DATE(YEAR(A78),MONTH(A78)+12/$E$7+1,DAY(1))-1,DATE(YEAR(A78),MONTH(A78)+12/$E$7,DAY($A$12))),"")</f>
        <v/>
      </c>
      <c r="B79" s="50" t="str">
        <f>IF($E$5*$E$7&lt;67,"",67)</f>
        <v/>
      </c>
      <c r="C79" s="51" t="str">
        <f>正常测算!C79</f>
        <v/>
      </c>
      <c r="D79" s="51" t="str">
        <f>正常测算!D79</f>
        <v/>
      </c>
      <c r="E79" s="51" t="str">
        <f t="shared" ref="E79:E134" si="21">IF(B79="","",IF($K$2=1,ROUND(E78,2),ROUND(C79-D79,2)))</f>
        <v/>
      </c>
      <c r="F79" s="52" t="str">
        <f t="shared" ref="F79:F134" si="22">IF(B79="","",F78-E79)</f>
        <v/>
      </c>
      <c r="G79" s="56" t="str">
        <f>IF(C79="","",IF(SUM(C80:C$134)=0,C79-C$7+C$8+G$10+H79+R79,C79+H79+R79))</f>
        <v/>
      </c>
      <c r="H79" s="56">
        <f>正常测算!H79</f>
        <v>0</v>
      </c>
      <c r="I79" s="9" t="str">
        <f t="shared" si="16"/>
        <v/>
      </c>
      <c r="J79" s="9" t="str">
        <f t="shared" si="17"/>
        <v/>
      </c>
      <c r="K79" s="9" t="str">
        <f>IF(M79="","",IF(B80="",SUM($J$13:$J79),SUM($J$13:$J79,$J80*(M79-A79)/(A80-A79))))</f>
        <v/>
      </c>
      <c r="L79" s="9" t="str">
        <f>IF(M79="","",IF(B80="",SUM($D$13:$D79,$R$12:$R79,$G$5:$G$10,$C$9,-$C$10),SUM($D$13:$D79,$R$12:$R79,$G$5:$G$10,$D80*(M79-A79)/(A80-A79),$C$9,-$C$10)))</f>
        <v/>
      </c>
      <c r="M79" s="15" t="str">
        <f t="shared" si="18"/>
        <v/>
      </c>
      <c r="N79" s="30" t="str">
        <f t="shared" si="14"/>
        <v/>
      </c>
      <c r="O79" s="53" t="str">
        <f t="shared" ref="O79:O134" si="23">IF(B79="","",IF($M$4=1,ROUND(-PMT((E$6+0.001)/E$7,(E$5*E$7-B78),F78,-C$8,0)-C79,2),0))</f>
        <v/>
      </c>
      <c r="P79" s="55" t="str">
        <f t="shared" ref="P79:P134" si="24">IF(B79="","",IF($N$4=1,ROUND(F78*0.001*DAYS360(A78,A79,1)/360/C79,6),0))</f>
        <v/>
      </c>
      <c r="R79" s="56">
        <f>IF($H$1="人民币电汇",0,IF(OR($H$1="原币划转",$H$1="美元结汇"),产品成本表!G92,-产品成本表!E92))+正常测算!R79</f>
        <v>0</v>
      </c>
      <c r="S79" s="64" t="str">
        <f t="shared" si="15"/>
        <v/>
      </c>
      <c r="T79" s="65" t="str">
        <f t="shared" si="19"/>
        <v/>
      </c>
      <c r="U79" s="10" t="str">
        <f>IF(J79="","",J79*IF($E$5&lt;=0.5,产品成本表!$E$3,IF($E$5&lt;=1,产品成本表!$E$4,IF($E$5&lt;=3,产品成本表!$E$5,IF($E$5&lt;=5,产品成本表!$E$6,产品成本表!$E$7)))))</f>
        <v/>
      </c>
    </row>
    <row r="80" spans="1:21">
      <c r="A80" s="49" t="str">
        <f t="shared" si="20"/>
        <v/>
      </c>
      <c r="B80" s="50" t="str">
        <f>IF($E$5*$E$7&lt;68,"",68)</f>
        <v/>
      </c>
      <c r="C80" s="51" t="str">
        <f>正常测算!C80</f>
        <v/>
      </c>
      <c r="D80" s="51" t="str">
        <f>正常测算!D80</f>
        <v/>
      </c>
      <c r="E80" s="51" t="str">
        <f t="shared" si="21"/>
        <v/>
      </c>
      <c r="F80" s="52" t="str">
        <f t="shared" si="22"/>
        <v/>
      </c>
      <c r="G80" s="56" t="str">
        <f>IF(C80="","",IF(SUM(C81:C$134)=0,C80-C$7+C$8+G$10+H80+R80,C80+H80+R80))</f>
        <v/>
      </c>
      <c r="H80" s="56">
        <f>正常测算!H80</f>
        <v>0</v>
      </c>
      <c r="I80" s="9" t="str">
        <f t="shared" si="16"/>
        <v/>
      </c>
      <c r="J80" s="9" t="str">
        <f t="shared" si="17"/>
        <v/>
      </c>
      <c r="K80" s="9" t="str">
        <f>IF(M80="","",IF(B81="",SUM($J$13:$J80),SUM($J$13:$J80,$J81*(M80-A80)/(A81-A80))))</f>
        <v/>
      </c>
      <c r="L80" s="9" t="str">
        <f>IF(M80="","",IF(B81="",SUM($D$13:$D80,$R$12:$R80,$G$5:$G$10,$C$9,-$C$10),SUM($D$13:$D80,$R$12:$R80,$G$5:$G$10,$D81*(M80-A80)/(A81-A80),$C$9,-$C$10)))</f>
        <v/>
      </c>
      <c r="M80" s="15" t="str">
        <f t="shared" si="18"/>
        <v/>
      </c>
      <c r="N80" s="30" t="str">
        <f t="shared" si="14"/>
        <v/>
      </c>
      <c r="O80" s="53" t="str">
        <f t="shared" si="23"/>
        <v/>
      </c>
      <c r="P80" s="55" t="str">
        <f t="shared" si="24"/>
        <v/>
      </c>
      <c r="R80" s="56">
        <f>IF($H$1="人民币电汇",0,IF(OR($H$1="原币划转",$H$1="美元结汇"),产品成本表!G93,-产品成本表!E93))+正常测算!R80</f>
        <v>0</v>
      </c>
      <c r="S80" s="64" t="str">
        <f t="shared" si="15"/>
        <v/>
      </c>
      <c r="T80" s="65" t="str">
        <f t="shared" si="19"/>
        <v/>
      </c>
      <c r="U80" s="10" t="str">
        <f>IF(J80="","",J80*IF($E$5&lt;=0.5,产品成本表!$E$3,IF($E$5&lt;=1,产品成本表!$E$4,IF($E$5&lt;=3,产品成本表!$E$5,IF($E$5&lt;=5,产品成本表!$E$6,产品成本表!$E$7)))))</f>
        <v/>
      </c>
    </row>
    <row r="81" spans="1:21">
      <c r="A81" s="49" t="str">
        <f t="shared" si="20"/>
        <v/>
      </c>
      <c r="B81" s="50" t="str">
        <f>IF($E$5*$E$7&lt;69,"",69)</f>
        <v/>
      </c>
      <c r="C81" s="51" t="str">
        <f>正常测算!C81</f>
        <v/>
      </c>
      <c r="D81" s="51" t="str">
        <f>正常测算!D81</f>
        <v/>
      </c>
      <c r="E81" s="51" t="str">
        <f t="shared" si="21"/>
        <v/>
      </c>
      <c r="F81" s="52" t="str">
        <f t="shared" si="22"/>
        <v/>
      </c>
      <c r="G81" s="56" t="str">
        <f>IF(C81="","",IF(SUM(C82:C$134)=0,C81-C$7+C$8+G$10+H81+R81,C81+H81+R81))</f>
        <v/>
      </c>
      <c r="H81" s="56">
        <f>正常测算!H81</f>
        <v>0</v>
      </c>
      <c r="I81" s="9" t="str">
        <f t="shared" si="16"/>
        <v/>
      </c>
      <c r="J81" s="9" t="str">
        <f t="shared" si="17"/>
        <v/>
      </c>
      <c r="K81" s="9" t="str">
        <f>IF(M81="","",IF(B82="",SUM($J$13:$J81),SUM($J$13:$J81,$J82*(M81-A81)/(A82-A81))))</f>
        <v/>
      </c>
      <c r="L81" s="9" t="str">
        <f>IF(M81="","",IF(B82="",SUM($D$13:$D81,$R$12:$R81,$G$5:$G$10,$C$9,-$C$10),SUM($D$13:$D81,$R$12:$R81,$G$5:$G$10,$D82*(M81-A81)/(A82-A81),$C$9,-$C$10)))</f>
        <v/>
      </c>
      <c r="M81" s="15" t="str">
        <f t="shared" si="18"/>
        <v/>
      </c>
      <c r="N81" s="30" t="str">
        <f t="shared" si="14"/>
        <v/>
      </c>
      <c r="O81" s="53" t="str">
        <f t="shared" si="23"/>
        <v/>
      </c>
      <c r="P81" s="55" t="str">
        <f t="shared" si="24"/>
        <v/>
      </c>
      <c r="R81" s="56">
        <f>IF($H$1="人民币电汇",0,IF(OR($H$1="原币划转",$H$1="美元结汇"),产品成本表!G94,-产品成本表!E94))+正常测算!R81</f>
        <v>0</v>
      </c>
      <c r="S81" s="64" t="str">
        <f t="shared" si="15"/>
        <v/>
      </c>
      <c r="T81" s="65" t="str">
        <f t="shared" si="19"/>
        <v/>
      </c>
      <c r="U81" s="10" t="str">
        <f>IF(J81="","",J81*IF($E$5&lt;=0.5,产品成本表!$E$3,IF($E$5&lt;=1,产品成本表!$E$4,IF($E$5&lt;=3,产品成本表!$E$5,IF($E$5&lt;=5,产品成本表!$E$6,产品成本表!$E$7)))))</f>
        <v/>
      </c>
    </row>
    <row r="82" spans="1:21">
      <c r="A82" s="49" t="str">
        <f t="shared" si="20"/>
        <v/>
      </c>
      <c r="B82" s="50" t="str">
        <f>IF($E$5*$E$7&lt;70,"",70)</f>
        <v/>
      </c>
      <c r="C82" s="51" t="str">
        <f>正常测算!C82</f>
        <v/>
      </c>
      <c r="D82" s="51" t="str">
        <f>正常测算!D82</f>
        <v/>
      </c>
      <c r="E82" s="51" t="str">
        <f t="shared" si="21"/>
        <v/>
      </c>
      <c r="F82" s="52" t="str">
        <f t="shared" si="22"/>
        <v/>
      </c>
      <c r="G82" s="56" t="str">
        <f>IF(C82="","",IF(SUM(C83:C$134)=0,C82-C$7+C$8+G$10+H82+R82,C82+H82+R82))</f>
        <v/>
      </c>
      <c r="H82" s="56">
        <f>正常测算!H82</f>
        <v>0</v>
      </c>
      <c r="I82" s="9" t="str">
        <f t="shared" si="16"/>
        <v/>
      </c>
      <c r="J82" s="9" t="str">
        <f t="shared" si="17"/>
        <v/>
      </c>
      <c r="K82" s="9" t="str">
        <f>IF(M82="","",IF(B83="",SUM($J$13:$J82),SUM($J$13:$J82,$J83*(M82-A82)/(A83-A82))))</f>
        <v/>
      </c>
      <c r="L82" s="9" t="str">
        <f>IF(M82="","",IF(B83="",SUM($D$13:$D82,$R$12:$R82,$G$5:$G$10,$C$9,-$C$10),SUM($D$13:$D82,$R$12:$R82,$G$5:$G$10,$D83*(M82-A82)/(A83-A82),$C$9,-$C$10)))</f>
        <v/>
      </c>
      <c r="M82" s="15" t="str">
        <f t="shared" si="18"/>
        <v/>
      </c>
      <c r="N82" s="30" t="str">
        <f t="shared" si="14"/>
        <v/>
      </c>
      <c r="O82" s="53" t="str">
        <f t="shared" si="23"/>
        <v/>
      </c>
      <c r="P82" s="55" t="str">
        <f t="shared" si="24"/>
        <v/>
      </c>
      <c r="R82" s="56">
        <f>IF($H$1="人民币电汇",0,IF(OR($H$1="原币划转",$H$1="美元结汇"),产品成本表!G95,-产品成本表!E95))+正常测算!R82</f>
        <v>0</v>
      </c>
      <c r="S82" s="64" t="str">
        <f t="shared" si="15"/>
        <v/>
      </c>
      <c r="T82" s="65" t="str">
        <f t="shared" si="19"/>
        <v/>
      </c>
      <c r="U82" s="10" t="str">
        <f>IF(J82="","",J82*IF($E$5&lt;=0.5,产品成本表!$E$3,IF($E$5&lt;=1,产品成本表!$E$4,IF($E$5&lt;=3,产品成本表!$E$5,IF($E$5&lt;=5,产品成本表!$E$6,产品成本表!$E$7)))))</f>
        <v/>
      </c>
    </row>
    <row r="83" spans="1:21">
      <c r="A83" s="49" t="str">
        <f t="shared" si="20"/>
        <v/>
      </c>
      <c r="B83" s="50" t="str">
        <f>IF($E$5*$E$7&lt;71,"",71)</f>
        <v/>
      </c>
      <c r="C83" s="51" t="str">
        <f>正常测算!C83</f>
        <v/>
      </c>
      <c r="D83" s="51" t="str">
        <f>正常测算!D83</f>
        <v/>
      </c>
      <c r="E83" s="51" t="str">
        <f t="shared" si="21"/>
        <v/>
      </c>
      <c r="F83" s="52" t="str">
        <f t="shared" si="22"/>
        <v/>
      </c>
      <c r="G83" s="56" t="str">
        <f>IF(C83="","",IF(SUM(C84:C$134)=0,C83-C$7+C$8+G$10+H83+R83,C83+H83+R83))</f>
        <v/>
      </c>
      <c r="H83" s="56">
        <f>正常测算!H83</f>
        <v>0</v>
      </c>
      <c r="I83" s="9" t="str">
        <f t="shared" si="16"/>
        <v/>
      </c>
      <c r="J83" s="9" t="str">
        <f t="shared" si="17"/>
        <v/>
      </c>
      <c r="K83" s="9" t="str">
        <f>IF(M83="","",IF(B84="",SUM($J$13:$J83),SUM($J$13:$J83,$J84*(M83-A83)/(A84-A83))))</f>
        <v/>
      </c>
      <c r="L83" s="9" t="str">
        <f>IF(M83="","",IF(B84="",SUM($D$13:$D83,$R$12:$R83,$G$5:$G$10,$C$9,-$C$10),SUM($D$13:$D83,$R$12:$R83,$G$5:$G$10,$D84*(M83-A83)/(A84-A83),$C$9,-$C$10)))</f>
        <v/>
      </c>
      <c r="M83" s="15" t="str">
        <f t="shared" si="18"/>
        <v/>
      </c>
      <c r="N83" s="30" t="str">
        <f t="shared" si="14"/>
        <v/>
      </c>
      <c r="O83" s="53" t="str">
        <f t="shared" si="23"/>
        <v/>
      </c>
      <c r="P83" s="55" t="str">
        <f t="shared" si="24"/>
        <v/>
      </c>
      <c r="R83" s="56">
        <f>IF($H$1="人民币电汇",0,IF(OR($H$1="原币划转",$H$1="美元结汇"),产品成本表!G96,-产品成本表!E96))+正常测算!R83</f>
        <v>0</v>
      </c>
      <c r="S83" s="64" t="str">
        <f t="shared" si="15"/>
        <v/>
      </c>
      <c r="T83" s="65" t="str">
        <f t="shared" si="19"/>
        <v/>
      </c>
      <c r="U83" s="10" t="str">
        <f>IF(J83="","",J83*IF($E$5&lt;=0.5,产品成本表!$E$3,IF($E$5&lt;=1,产品成本表!$E$4,IF($E$5&lt;=3,产品成本表!$E$5,IF($E$5&lt;=5,产品成本表!$E$6,产品成本表!$E$7)))))</f>
        <v/>
      </c>
    </row>
    <row r="84" spans="1:21">
      <c r="A84" s="49" t="str">
        <f t="shared" si="20"/>
        <v/>
      </c>
      <c r="B84" s="50" t="str">
        <f>IF($E$5*$E$7&lt;72,"",72)</f>
        <v/>
      </c>
      <c r="C84" s="51" t="str">
        <f>正常测算!C84</f>
        <v/>
      </c>
      <c r="D84" s="51" t="str">
        <f>正常测算!D84</f>
        <v/>
      </c>
      <c r="E84" s="51" t="str">
        <f t="shared" si="21"/>
        <v/>
      </c>
      <c r="F84" s="52" t="str">
        <f t="shared" si="22"/>
        <v/>
      </c>
      <c r="G84" s="56" t="str">
        <f>IF(C84="","",IF(SUM(C85:C$134)=0,C84-C$7+C$8+G$10+H84+R84,C84+H84+R84))</f>
        <v/>
      </c>
      <c r="H84" s="56">
        <f>正常测算!H84</f>
        <v>0</v>
      </c>
      <c r="I84" s="9" t="str">
        <f t="shared" si="16"/>
        <v/>
      </c>
      <c r="J84" s="9" t="str">
        <f t="shared" si="17"/>
        <v/>
      </c>
      <c r="K84" s="9" t="str">
        <f>IF(M84="","",IF(B85="",SUM($J$13:$J84),SUM($J$13:$J84,$J85*(M84-A84)/(A85-A84))))</f>
        <v/>
      </c>
      <c r="L84" s="9" t="str">
        <f>IF(M84="","",IF(B85="",SUM($D$13:$D84,$R$12:$R84,$G$5:$G$10,$C$9,-$C$10),SUM($D$13:$D84,$R$12:$R84,$G$5:$G$10,$D85*(M84-A84)/(A85-A84),$C$9,-$C$10)))</f>
        <v/>
      </c>
      <c r="M84" s="15" t="str">
        <f t="shared" si="18"/>
        <v/>
      </c>
      <c r="N84" s="30" t="str">
        <f t="shared" si="14"/>
        <v/>
      </c>
      <c r="O84" s="53" t="str">
        <f t="shared" si="23"/>
        <v/>
      </c>
      <c r="P84" s="55" t="str">
        <f t="shared" si="24"/>
        <v/>
      </c>
      <c r="R84" s="56">
        <f>IF($H$1="人民币电汇",0,IF(OR($H$1="原币划转",$H$1="美元结汇"),产品成本表!G97,-产品成本表!E97))+正常测算!R84</f>
        <v>0</v>
      </c>
      <c r="S84" s="64" t="str">
        <f t="shared" si="15"/>
        <v/>
      </c>
      <c r="T84" s="65" t="str">
        <f t="shared" si="19"/>
        <v/>
      </c>
      <c r="U84" s="10" t="str">
        <f>IF(J84="","",J84*IF($E$5&lt;=0.5,产品成本表!$E$3,IF($E$5&lt;=1,产品成本表!$E$4,IF($E$5&lt;=3,产品成本表!$E$5,IF($E$5&lt;=5,产品成本表!$E$6,产品成本表!$E$7)))))</f>
        <v/>
      </c>
    </row>
    <row r="85" spans="1:21">
      <c r="A85" s="49" t="str">
        <f t="shared" si="20"/>
        <v/>
      </c>
      <c r="B85" s="50" t="str">
        <f>IF($E$5*$E$7&lt;73,"",73)</f>
        <v/>
      </c>
      <c r="C85" s="51" t="str">
        <f>正常测算!C85</f>
        <v/>
      </c>
      <c r="D85" s="51" t="str">
        <f>正常测算!D85</f>
        <v/>
      </c>
      <c r="E85" s="51" t="str">
        <f t="shared" si="21"/>
        <v/>
      </c>
      <c r="F85" s="52" t="str">
        <f t="shared" si="22"/>
        <v/>
      </c>
      <c r="G85" s="56" t="str">
        <f>IF(C85="","",IF(SUM(C86:C$134)=0,C85-C$7+C$8+G$10+H85+R85,C85+H85+R85))</f>
        <v/>
      </c>
      <c r="H85" s="56">
        <f>正常测算!H85</f>
        <v>0</v>
      </c>
      <c r="I85" s="9" t="str">
        <f t="shared" si="16"/>
        <v/>
      </c>
      <c r="J85" s="9" t="str">
        <f t="shared" si="17"/>
        <v/>
      </c>
      <c r="K85" s="9" t="str">
        <f>IF(M85="","",IF(B86="",SUM($J$13:$J85),SUM($J$13:$J85,$J86*(M85-A85)/(A86-A85))))</f>
        <v/>
      </c>
      <c r="L85" s="9" t="str">
        <f>IF(M85="","",IF(B86="",SUM($D$13:$D85,$R$12:$R85,$G$5:$G$10,$C$9,-$C$10),SUM($D$13:$D85,$R$12:$R85,$G$5:$G$10,$D86*(M85-A85)/(A86-A85),$C$9,-$C$10)))</f>
        <v/>
      </c>
      <c r="M85" s="15" t="str">
        <f t="shared" si="18"/>
        <v/>
      </c>
      <c r="N85" s="30" t="str">
        <f t="shared" si="14"/>
        <v/>
      </c>
      <c r="O85" s="53" t="str">
        <f t="shared" si="23"/>
        <v/>
      </c>
      <c r="P85" s="55" t="str">
        <f t="shared" si="24"/>
        <v/>
      </c>
      <c r="R85" s="56">
        <f>IF($H$1="人民币电汇",0,IF(OR($H$1="原币划转",$H$1="美元结汇"),产品成本表!G98,-产品成本表!E98))+正常测算!R85</f>
        <v>0</v>
      </c>
      <c r="S85" s="64" t="str">
        <f t="shared" si="15"/>
        <v/>
      </c>
      <c r="T85" s="65" t="str">
        <f t="shared" si="19"/>
        <v/>
      </c>
      <c r="U85" s="10" t="str">
        <f>IF(J85="","",J85*IF($E$5&lt;=0.5,产品成本表!$E$3,IF($E$5&lt;=1,产品成本表!$E$4,IF($E$5&lt;=3,产品成本表!$E$5,IF($E$5&lt;=5,产品成本表!$E$6,产品成本表!$E$7)))))</f>
        <v/>
      </c>
    </row>
    <row r="86" spans="1:21">
      <c r="A86" s="49" t="str">
        <f t="shared" si="20"/>
        <v/>
      </c>
      <c r="B86" s="50" t="str">
        <f>IF($E$5*$E$7&lt;74,"",74)</f>
        <v/>
      </c>
      <c r="C86" s="51" t="str">
        <f>正常测算!C86</f>
        <v/>
      </c>
      <c r="D86" s="51" t="str">
        <f>正常测算!D86</f>
        <v/>
      </c>
      <c r="E86" s="51" t="str">
        <f t="shared" si="21"/>
        <v/>
      </c>
      <c r="F86" s="52" t="str">
        <f t="shared" si="22"/>
        <v/>
      </c>
      <c r="G86" s="56" t="str">
        <f>IF(C86="","",IF(SUM(C87:C$134)=0,C86-C$7+C$8+G$10+H86+R86,C86+H86+R86))</f>
        <v/>
      </c>
      <c r="H86" s="56">
        <f>正常测算!H86</f>
        <v>0</v>
      </c>
      <c r="I86" s="9" t="str">
        <f t="shared" si="16"/>
        <v/>
      </c>
      <c r="J86" s="9" t="str">
        <f t="shared" si="17"/>
        <v/>
      </c>
      <c r="K86" s="9" t="str">
        <f>IF(M86="","",IF(B87="",SUM($J$13:$J86),SUM($J$13:$J86,$J87*(M86-A86)/(A87-A86))))</f>
        <v/>
      </c>
      <c r="L86" s="9" t="str">
        <f>IF(M86="","",IF(B87="",SUM($D$13:$D86,$R$12:$R86,$G$5:$G$10,$C$9,-$C$10),SUM($D$13:$D86,$R$12:$R86,$G$5:$G$10,$D87*(M86-A86)/(A87-A86),$C$9,-$C$10)))</f>
        <v/>
      </c>
      <c r="M86" s="15" t="str">
        <f t="shared" si="18"/>
        <v/>
      </c>
      <c r="N86" s="30" t="str">
        <f t="shared" si="14"/>
        <v/>
      </c>
      <c r="O86" s="53" t="str">
        <f t="shared" si="23"/>
        <v/>
      </c>
      <c r="P86" s="55" t="str">
        <f t="shared" si="24"/>
        <v/>
      </c>
      <c r="R86" s="56">
        <f>IF($H$1="人民币电汇",0,IF(OR($H$1="原币划转",$H$1="美元结汇"),产品成本表!G99,-产品成本表!E99))+正常测算!R86</f>
        <v>0</v>
      </c>
      <c r="S86" s="64" t="str">
        <f t="shared" si="15"/>
        <v/>
      </c>
      <c r="T86" s="65" t="str">
        <f t="shared" si="19"/>
        <v/>
      </c>
      <c r="U86" s="10" t="str">
        <f>IF(J86="","",J86*IF($E$5&lt;=0.5,产品成本表!$E$3,IF($E$5&lt;=1,产品成本表!$E$4,IF($E$5&lt;=3,产品成本表!$E$5,IF($E$5&lt;=5,产品成本表!$E$6,产品成本表!$E$7)))))</f>
        <v/>
      </c>
    </row>
    <row r="87" spans="1:21">
      <c r="A87" s="49" t="str">
        <f t="shared" si="20"/>
        <v/>
      </c>
      <c r="B87" s="50" t="str">
        <f>IF($E$5*$E$7&lt;75,"",75)</f>
        <v/>
      </c>
      <c r="C87" s="51" t="str">
        <f>正常测算!C87</f>
        <v/>
      </c>
      <c r="D87" s="51" t="str">
        <f>正常测算!D87</f>
        <v/>
      </c>
      <c r="E87" s="51" t="str">
        <f t="shared" si="21"/>
        <v/>
      </c>
      <c r="F87" s="52" t="str">
        <f t="shared" si="22"/>
        <v/>
      </c>
      <c r="G87" s="56" t="str">
        <f>IF(C87="","",IF(SUM(C88:C$134)=0,C87-C$7+C$8+G$10+H87+R87,C87+H87+R87))</f>
        <v/>
      </c>
      <c r="H87" s="56">
        <f>正常测算!H87</f>
        <v>0</v>
      </c>
      <c r="I87" s="9" t="str">
        <f t="shared" si="16"/>
        <v/>
      </c>
      <c r="J87" s="9" t="str">
        <f t="shared" si="17"/>
        <v/>
      </c>
      <c r="K87" s="9" t="str">
        <f>IF(M87="","",IF(B88="",SUM($J$13:$J87),SUM($J$13:$J87,$J88*(M87-A87)/(A88-A87))))</f>
        <v/>
      </c>
      <c r="L87" s="9" t="str">
        <f>IF(M87="","",IF(B88="",SUM($D$13:$D87,$R$12:$R87,$G$5:$G$10,$C$9,-$C$10),SUM($D$13:$D87,$R$12:$R87,$G$5:$G$10,$D88*(M87-A87)/(A88-A87),$C$9,-$C$10)))</f>
        <v/>
      </c>
      <c r="M87" s="15" t="str">
        <f t="shared" si="18"/>
        <v/>
      </c>
      <c r="N87" s="30" t="str">
        <f t="shared" si="14"/>
        <v/>
      </c>
      <c r="O87" s="53" t="str">
        <f t="shared" si="23"/>
        <v/>
      </c>
      <c r="P87" s="55" t="str">
        <f t="shared" si="24"/>
        <v/>
      </c>
      <c r="R87" s="56">
        <f>IF($H$1="人民币电汇",0,IF(OR($H$1="原币划转",$H$1="美元结汇"),产品成本表!G100,-产品成本表!E100))+正常测算!R87</f>
        <v>0</v>
      </c>
      <c r="S87" s="64" t="str">
        <f t="shared" si="15"/>
        <v/>
      </c>
      <c r="T87" s="65" t="str">
        <f t="shared" si="19"/>
        <v/>
      </c>
      <c r="U87" s="10" t="str">
        <f>IF(J87="","",J87*IF($E$5&lt;=0.5,产品成本表!$E$3,IF($E$5&lt;=1,产品成本表!$E$4,IF($E$5&lt;=3,产品成本表!$E$5,IF($E$5&lt;=5,产品成本表!$E$6,产品成本表!$E$7)))))</f>
        <v/>
      </c>
    </row>
    <row r="88" spans="1:21">
      <c r="A88" s="49" t="str">
        <f t="shared" si="20"/>
        <v/>
      </c>
      <c r="B88" s="50" t="str">
        <f>IF($E$5*$E$7&lt;76,"",76)</f>
        <v/>
      </c>
      <c r="C88" s="51" t="str">
        <f>正常测算!C88</f>
        <v/>
      </c>
      <c r="D88" s="51" t="str">
        <f>正常测算!D88</f>
        <v/>
      </c>
      <c r="E88" s="51" t="str">
        <f t="shared" si="21"/>
        <v/>
      </c>
      <c r="F88" s="52" t="str">
        <f t="shared" si="22"/>
        <v/>
      </c>
      <c r="G88" s="56" t="str">
        <f>IF(C88="","",IF(SUM(C89:C$134)=0,C88-C$7+C$8+G$10+H88+R88,C88+H88+R88))</f>
        <v/>
      </c>
      <c r="H88" s="56">
        <f>正常测算!H88</f>
        <v>0</v>
      </c>
      <c r="I88" s="9" t="str">
        <f t="shared" si="16"/>
        <v/>
      </c>
      <c r="J88" s="9" t="str">
        <f t="shared" si="17"/>
        <v/>
      </c>
      <c r="K88" s="9" t="str">
        <f>IF(M88="","",IF(B89="",SUM($J$13:$J88),SUM($J$13:$J88,$J89*(M88-A88)/(A89-A88))))</f>
        <v/>
      </c>
      <c r="L88" s="9" t="str">
        <f>IF(M88="","",IF(B89="",SUM($D$13:$D88,$R$12:$R88,$G$5:$G$10,$C$9,-$C$10),SUM($D$13:$D88,$R$12:$R88,$G$5:$G$10,$D89*(M88-A88)/(A89-A88),$C$9,-$C$10)))</f>
        <v/>
      </c>
      <c r="M88" s="15" t="str">
        <f t="shared" si="18"/>
        <v/>
      </c>
      <c r="N88" s="30" t="str">
        <f t="shared" si="14"/>
        <v/>
      </c>
      <c r="O88" s="53" t="str">
        <f t="shared" si="23"/>
        <v/>
      </c>
      <c r="P88" s="55" t="str">
        <f t="shared" si="24"/>
        <v/>
      </c>
      <c r="R88" s="56">
        <f>IF($H$1="人民币电汇",0,IF(OR($H$1="原币划转",$H$1="美元结汇"),产品成本表!G101,-产品成本表!E101))+正常测算!R88</f>
        <v>0</v>
      </c>
      <c r="S88" s="64" t="str">
        <f t="shared" si="15"/>
        <v/>
      </c>
      <c r="T88" s="65" t="str">
        <f t="shared" si="19"/>
        <v/>
      </c>
      <c r="U88" s="10" t="str">
        <f>IF(J88="","",J88*IF($E$5&lt;=0.5,产品成本表!$E$3,IF($E$5&lt;=1,产品成本表!$E$4,IF($E$5&lt;=3,产品成本表!$E$5,IF($E$5&lt;=5,产品成本表!$E$6,产品成本表!$E$7)))))</f>
        <v/>
      </c>
    </row>
    <row r="89" spans="1:21">
      <c r="A89" s="49" t="str">
        <f t="shared" si="20"/>
        <v/>
      </c>
      <c r="B89" s="50" t="str">
        <f>IF($E$5*$E$7&lt;77,"",77)</f>
        <v/>
      </c>
      <c r="C89" s="51" t="str">
        <f>正常测算!C89</f>
        <v/>
      </c>
      <c r="D89" s="51" t="str">
        <f>正常测算!D89</f>
        <v/>
      </c>
      <c r="E89" s="51" t="str">
        <f t="shared" si="21"/>
        <v/>
      </c>
      <c r="F89" s="52" t="str">
        <f t="shared" si="22"/>
        <v/>
      </c>
      <c r="G89" s="56" t="str">
        <f>IF(C89="","",IF(SUM(C90:C$134)=0,C89-C$7+C$8+G$10+H89+R89,C89+H89+R89))</f>
        <v/>
      </c>
      <c r="H89" s="56">
        <f>正常测算!H89</f>
        <v>0</v>
      </c>
      <c r="I89" s="9" t="str">
        <f t="shared" si="16"/>
        <v/>
      </c>
      <c r="J89" s="9" t="str">
        <f t="shared" si="17"/>
        <v/>
      </c>
      <c r="K89" s="9" t="str">
        <f>IF(M89="","",IF(B90="",SUM($J$13:$J89),SUM($J$13:$J89,$J90*(M89-A89)/(A90-A89))))</f>
        <v/>
      </c>
      <c r="L89" s="9" t="str">
        <f>IF(M89="","",IF(B90="",SUM($D$13:$D89,$R$12:$R89,$G$5:$G$10,$C$9,-$C$10),SUM($D$13:$D89,$R$12:$R89,$G$5:$G$10,$D90*(M89-A89)/(A90-A89),$C$9,-$C$10)))</f>
        <v/>
      </c>
      <c r="M89" s="15" t="str">
        <f t="shared" si="18"/>
        <v/>
      </c>
      <c r="N89" s="30" t="str">
        <f t="shared" si="14"/>
        <v/>
      </c>
      <c r="O89" s="53" t="str">
        <f t="shared" si="23"/>
        <v/>
      </c>
      <c r="P89" s="55" t="str">
        <f t="shared" si="24"/>
        <v/>
      </c>
      <c r="R89" s="56">
        <f>IF($H$1="人民币电汇",0,IF(OR($H$1="原币划转",$H$1="美元结汇"),产品成本表!G102,-产品成本表!E102))+正常测算!R89</f>
        <v>0</v>
      </c>
      <c r="S89" s="64" t="str">
        <f t="shared" si="15"/>
        <v/>
      </c>
      <c r="T89" s="65" t="str">
        <f t="shared" si="19"/>
        <v/>
      </c>
      <c r="U89" s="10" t="str">
        <f>IF(J89="","",J89*IF($E$5&lt;=0.5,产品成本表!$E$3,IF($E$5&lt;=1,产品成本表!$E$4,IF($E$5&lt;=3,产品成本表!$E$5,IF($E$5&lt;=5,产品成本表!$E$6,产品成本表!$E$7)))))</f>
        <v/>
      </c>
    </row>
    <row r="90" spans="1:21">
      <c r="A90" s="49" t="str">
        <f t="shared" si="20"/>
        <v/>
      </c>
      <c r="B90" s="50" t="str">
        <f>IF($E$5*$E$7&lt;78,"",78)</f>
        <v/>
      </c>
      <c r="C90" s="51" t="str">
        <f>正常测算!C90</f>
        <v/>
      </c>
      <c r="D90" s="51" t="str">
        <f>正常测算!D90</f>
        <v/>
      </c>
      <c r="E90" s="51" t="str">
        <f t="shared" si="21"/>
        <v/>
      </c>
      <c r="F90" s="52" t="str">
        <f t="shared" si="22"/>
        <v/>
      </c>
      <c r="G90" s="56" t="str">
        <f>IF(C90="","",IF(SUM(C91:C$134)=0,C90-C$7+C$8+G$10+H90+R90,C90+H90+R90))</f>
        <v/>
      </c>
      <c r="H90" s="56">
        <f>正常测算!H90</f>
        <v>0</v>
      </c>
      <c r="I90" s="9" t="str">
        <f t="shared" si="16"/>
        <v/>
      </c>
      <c r="J90" s="9" t="str">
        <f t="shared" si="17"/>
        <v/>
      </c>
      <c r="K90" s="9" t="str">
        <f>IF(M90="","",IF(B91="",SUM($J$13:$J90),SUM($J$13:$J90,$J91*(M90-A90)/(A91-A90))))</f>
        <v/>
      </c>
      <c r="L90" s="9" t="str">
        <f>IF(M90="","",IF(B91="",SUM($D$13:$D90,$R$12:$R90,$G$5:$G$10,$C$9,-$C$10),SUM($D$13:$D90,$R$12:$R90,$G$5:$G$10,$D91*(M90-A90)/(A91-A90),$C$9,-$C$10)))</f>
        <v/>
      </c>
      <c r="M90" s="15" t="str">
        <f t="shared" si="18"/>
        <v/>
      </c>
      <c r="N90" s="30" t="str">
        <f t="shared" si="14"/>
        <v/>
      </c>
      <c r="O90" s="53" t="str">
        <f t="shared" si="23"/>
        <v/>
      </c>
      <c r="P90" s="55" t="str">
        <f t="shared" si="24"/>
        <v/>
      </c>
      <c r="R90" s="56">
        <f>IF($H$1="人民币电汇",0,IF(OR($H$1="原币划转",$H$1="美元结汇"),产品成本表!G103,-产品成本表!E103))+正常测算!R90</f>
        <v>0</v>
      </c>
      <c r="S90" s="64" t="str">
        <f t="shared" si="15"/>
        <v/>
      </c>
      <c r="T90" s="65" t="str">
        <f t="shared" si="19"/>
        <v/>
      </c>
      <c r="U90" s="10" t="str">
        <f>IF(J90="","",J90*IF($E$5&lt;=0.5,产品成本表!$E$3,IF($E$5&lt;=1,产品成本表!$E$4,IF($E$5&lt;=3,产品成本表!$E$5,IF($E$5&lt;=5,产品成本表!$E$6,产品成本表!$E$7)))))</f>
        <v/>
      </c>
    </row>
    <row r="91" spans="1:21">
      <c r="A91" s="49" t="str">
        <f t="shared" si="20"/>
        <v/>
      </c>
      <c r="B91" s="50" t="str">
        <f>IF($E$5*$E$7&lt;79,"",79)</f>
        <v/>
      </c>
      <c r="C91" s="51" t="str">
        <f>正常测算!C91</f>
        <v/>
      </c>
      <c r="D91" s="51" t="str">
        <f>正常测算!D91</f>
        <v/>
      </c>
      <c r="E91" s="51" t="str">
        <f t="shared" si="21"/>
        <v/>
      </c>
      <c r="F91" s="52" t="str">
        <f t="shared" si="22"/>
        <v/>
      </c>
      <c r="G91" s="56" t="str">
        <f>IF(C91="","",IF(SUM(C92:C$134)=0,C91-C$7+C$8+G$10+H91+R91,C91+H91+R91))</f>
        <v/>
      </c>
      <c r="H91" s="56">
        <f>正常测算!H91</f>
        <v>0</v>
      </c>
      <c r="I91" s="9" t="str">
        <f t="shared" si="16"/>
        <v/>
      </c>
      <c r="J91" s="9" t="str">
        <f t="shared" si="17"/>
        <v/>
      </c>
      <c r="K91" s="9" t="str">
        <f>IF(M91="","",IF(B92="",SUM($J$13:$J91),SUM($J$13:$J91,$J92*(M91-A91)/(A92-A91))))</f>
        <v/>
      </c>
      <c r="L91" s="9" t="str">
        <f>IF(M91="","",IF(B92="",SUM($D$13:$D91,$R$12:$R91,$G$5:$G$10,$C$9,-$C$10),SUM($D$13:$D91,$R$12:$R91,$G$5:$G$10,$D92*(M91-A91)/(A92-A91),$C$9,-$C$10)))</f>
        <v/>
      </c>
      <c r="M91" s="15" t="str">
        <f t="shared" si="18"/>
        <v/>
      </c>
      <c r="N91" s="30" t="str">
        <f t="shared" si="14"/>
        <v/>
      </c>
      <c r="O91" s="53" t="str">
        <f t="shared" si="23"/>
        <v/>
      </c>
      <c r="P91" s="55" t="str">
        <f t="shared" si="24"/>
        <v/>
      </c>
      <c r="R91" s="56">
        <f>IF($H$1="人民币电汇",0,IF(OR($H$1="原币划转",$H$1="美元结汇"),产品成本表!G104,-产品成本表!E104))+正常测算!R91</f>
        <v>0</v>
      </c>
      <c r="S91" s="64" t="str">
        <f t="shared" si="15"/>
        <v/>
      </c>
      <c r="T91" s="65" t="str">
        <f t="shared" si="19"/>
        <v/>
      </c>
      <c r="U91" s="10" t="str">
        <f>IF(J91="","",J91*IF($E$5&lt;=0.5,产品成本表!$E$3,IF($E$5&lt;=1,产品成本表!$E$4,IF($E$5&lt;=3,产品成本表!$E$5,IF($E$5&lt;=5,产品成本表!$E$6,产品成本表!$E$7)))))</f>
        <v/>
      </c>
    </row>
    <row r="92" spans="1:21">
      <c r="A92" s="49" t="str">
        <f t="shared" si="20"/>
        <v/>
      </c>
      <c r="B92" s="50" t="str">
        <f>IF($E$5*$E$7&lt;80,"",80)</f>
        <v/>
      </c>
      <c r="C92" s="51" t="str">
        <f>正常测算!C92</f>
        <v/>
      </c>
      <c r="D92" s="51" t="str">
        <f>正常测算!D92</f>
        <v/>
      </c>
      <c r="E92" s="51" t="str">
        <f t="shared" si="21"/>
        <v/>
      </c>
      <c r="F92" s="52" t="str">
        <f t="shared" si="22"/>
        <v/>
      </c>
      <c r="G92" s="56" t="str">
        <f>IF(C92="","",IF(SUM(C93:C$134)=0,C92-C$7+C$8+G$10+H92+R92,C92+H92+R92))</f>
        <v/>
      </c>
      <c r="H92" s="56">
        <f>正常测算!H92</f>
        <v>0</v>
      </c>
      <c r="I92" s="9" t="str">
        <f t="shared" si="16"/>
        <v/>
      </c>
      <c r="J92" s="9" t="str">
        <f t="shared" si="17"/>
        <v/>
      </c>
      <c r="K92" s="9" t="str">
        <f>IF(M92="","",IF(B93="",SUM($J$13:$J92),SUM($J$13:$J92,$J93*(M92-A92)/(A93-A92))))</f>
        <v/>
      </c>
      <c r="L92" s="9" t="str">
        <f>IF(M92="","",IF(B93="",SUM($D$13:$D92,$R$12:$R92,$G$5:$G$10,$C$9,-$C$10),SUM($D$13:$D92,$R$12:$R92,$G$5:$G$10,$D93*(M92-A92)/(A93-A92),$C$9,-$C$10)))</f>
        <v/>
      </c>
      <c r="M92" s="15" t="str">
        <f t="shared" si="18"/>
        <v/>
      </c>
      <c r="N92" s="30" t="str">
        <f t="shared" si="14"/>
        <v/>
      </c>
      <c r="O92" s="53" t="str">
        <f t="shared" si="23"/>
        <v/>
      </c>
      <c r="P92" s="55" t="str">
        <f t="shared" si="24"/>
        <v/>
      </c>
      <c r="R92" s="56">
        <f>IF($H$1="人民币电汇",0,IF(OR($H$1="原币划转",$H$1="美元结汇"),产品成本表!G105,-产品成本表!E105))+正常测算!R92</f>
        <v>0</v>
      </c>
      <c r="S92" s="64" t="str">
        <f t="shared" si="15"/>
        <v/>
      </c>
      <c r="T92" s="65" t="str">
        <f t="shared" si="19"/>
        <v/>
      </c>
      <c r="U92" s="10" t="str">
        <f>IF(J92="","",J92*IF($E$5&lt;=0.5,产品成本表!$E$3,IF($E$5&lt;=1,产品成本表!$E$4,IF($E$5&lt;=3,产品成本表!$E$5,IF($E$5&lt;=5,产品成本表!$E$6,产品成本表!$E$7)))))</f>
        <v/>
      </c>
    </row>
    <row r="93" spans="1:21">
      <c r="A93" s="49" t="str">
        <f t="shared" si="20"/>
        <v/>
      </c>
      <c r="B93" s="50" t="str">
        <f>IF($E$5*$E$7&lt;81,"",81)</f>
        <v/>
      </c>
      <c r="C93" s="51" t="str">
        <f>正常测算!C93</f>
        <v/>
      </c>
      <c r="D93" s="51" t="str">
        <f>正常测算!D93</f>
        <v/>
      </c>
      <c r="E93" s="51" t="str">
        <f t="shared" si="21"/>
        <v/>
      </c>
      <c r="F93" s="52" t="str">
        <f t="shared" si="22"/>
        <v/>
      </c>
      <c r="G93" s="56" t="str">
        <f>IF(C93="","",IF(SUM(C94:C$134)=0,C93-C$7+C$8+G$10+H93+R93,C93+H93+R93))</f>
        <v/>
      </c>
      <c r="H93" s="56">
        <f>正常测算!H93</f>
        <v>0</v>
      </c>
      <c r="I93" s="9" t="str">
        <f t="shared" si="16"/>
        <v/>
      </c>
      <c r="J93" s="9" t="str">
        <f t="shared" si="17"/>
        <v/>
      </c>
      <c r="K93" s="9" t="str">
        <f>IF(M93="","",IF(B94="",SUM($J$13:$J93),SUM($J$13:$J93,$J94*(M93-A93)/(A94-A93))))</f>
        <v/>
      </c>
      <c r="L93" s="9" t="str">
        <f>IF(M93="","",IF(B94="",SUM($D$13:$D93,$R$12:$R93,$G$5:$G$10,$C$9,-$C$10),SUM($D$13:$D93,$R$12:$R93,$G$5:$G$10,$D94*(M93-A93)/(A94-A93),$C$9,-$C$10)))</f>
        <v/>
      </c>
      <c r="M93" s="15" t="str">
        <f t="shared" si="18"/>
        <v/>
      </c>
      <c r="N93" s="30" t="str">
        <f t="shared" si="14"/>
        <v/>
      </c>
      <c r="O93" s="53" t="str">
        <f t="shared" si="23"/>
        <v/>
      </c>
      <c r="P93" s="55" t="str">
        <f t="shared" si="24"/>
        <v/>
      </c>
      <c r="R93" s="56">
        <f>IF($H$1="人民币电汇",0,IF(OR($H$1="原币划转",$H$1="美元结汇"),产品成本表!G106,-产品成本表!E106))+正常测算!R93</f>
        <v>0</v>
      </c>
      <c r="S93" s="64" t="str">
        <f t="shared" si="15"/>
        <v/>
      </c>
      <c r="T93" s="65" t="str">
        <f t="shared" si="19"/>
        <v/>
      </c>
      <c r="U93" s="10" t="str">
        <f>IF(J93="","",J93*IF($E$5&lt;=0.5,产品成本表!$E$3,IF($E$5&lt;=1,产品成本表!$E$4,IF($E$5&lt;=3,产品成本表!$E$5,IF($E$5&lt;=5,产品成本表!$E$6,产品成本表!$E$7)))))</f>
        <v/>
      </c>
    </row>
    <row r="94" spans="1:21">
      <c r="A94" s="49" t="str">
        <f t="shared" si="20"/>
        <v/>
      </c>
      <c r="B94" s="50" t="str">
        <f>IF($E$5*$E$7&lt;82,"",82)</f>
        <v/>
      </c>
      <c r="C94" s="51" t="str">
        <f>正常测算!C94</f>
        <v/>
      </c>
      <c r="D94" s="51" t="str">
        <f>正常测算!D94</f>
        <v/>
      </c>
      <c r="E94" s="51" t="str">
        <f t="shared" si="21"/>
        <v/>
      </c>
      <c r="F94" s="52" t="str">
        <f t="shared" si="22"/>
        <v/>
      </c>
      <c r="G94" s="56" t="str">
        <f>IF(C94="","",IF(SUM(C95:C$134)=0,C94-C$7+C$8+G$10+H94+R94,C94+H94+R94))</f>
        <v/>
      </c>
      <c r="H94" s="56">
        <f>正常测算!H94</f>
        <v>0</v>
      </c>
      <c r="I94" s="9" t="str">
        <f t="shared" si="16"/>
        <v/>
      </c>
      <c r="J94" s="9" t="str">
        <f t="shared" si="17"/>
        <v/>
      </c>
      <c r="K94" s="9" t="str">
        <f>IF(M94="","",IF(B95="",SUM($J$13:$J94),SUM($J$13:$J94,$J95*(M94-A94)/(A95-A94))))</f>
        <v/>
      </c>
      <c r="L94" s="9" t="str">
        <f>IF(M94="","",IF(B95="",SUM($D$13:$D94,$R$12:$R94,$G$5:$G$10,$C$9,-$C$10),SUM($D$13:$D94,$R$12:$R94,$G$5:$G$10,$D95*(M94-A94)/(A95-A94),$C$9,-$C$10)))</f>
        <v/>
      </c>
      <c r="M94" s="15" t="str">
        <f t="shared" si="18"/>
        <v/>
      </c>
      <c r="N94" s="30" t="str">
        <f t="shared" si="14"/>
        <v/>
      </c>
      <c r="O94" s="53" t="str">
        <f t="shared" si="23"/>
        <v/>
      </c>
      <c r="P94" s="55" t="str">
        <f t="shared" si="24"/>
        <v/>
      </c>
      <c r="R94" s="56">
        <f>IF($H$1="人民币电汇",0,IF(OR($H$1="原币划转",$H$1="美元结汇"),产品成本表!G107,-产品成本表!E107))+正常测算!R94</f>
        <v>0</v>
      </c>
      <c r="S94" s="64" t="str">
        <f t="shared" si="15"/>
        <v/>
      </c>
      <c r="T94" s="65" t="str">
        <f t="shared" si="19"/>
        <v/>
      </c>
      <c r="U94" s="10" t="str">
        <f>IF(J94="","",J94*IF($E$5&lt;=0.5,产品成本表!$E$3,IF($E$5&lt;=1,产品成本表!$E$4,IF($E$5&lt;=3,产品成本表!$E$5,IF($E$5&lt;=5,产品成本表!$E$6,产品成本表!$E$7)))))</f>
        <v/>
      </c>
    </row>
    <row r="95" spans="1:21">
      <c r="A95" s="49" t="str">
        <f t="shared" si="20"/>
        <v/>
      </c>
      <c r="B95" s="50" t="str">
        <f>IF($E$5*$E$7&lt;83,"",83)</f>
        <v/>
      </c>
      <c r="C95" s="51" t="str">
        <f>正常测算!C95</f>
        <v/>
      </c>
      <c r="D95" s="51" t="str">
        <f>正常测算!D95</f>
        <v/>
      </c>
      <c r="E95" s="51" t="str">
        <f t="shared" si="21"/>
        <v/>
      </c>
      <c r="F95" s="52" t="str">
        <f t="shared" si="22"/>
        <v/>
      </c>
      <c r="G95" s="56" t="str">
        <f>IF(C95="","",IF(SUM(C96:C$134)=0,C95-C$7+C$8+G$10+H95+R95,C95+H95+R95))</f>
        <v/>
      </c>
      <c r="H95" s="56">
        <f>正常测算!H95</f>
        <v>0</v>
      </c>
      <c r="I95" s="9" t="str">
        <f t="shared" si="16"/>
        <v/>
      </c>
      <c r="J95" s="9" t="str">
        <f t="shared" si="17"/>
        <v/>
      </c>
      <c r="K95" s="9" t="str">
        <f>IF(M95="","",IF(B96="",SUM($J$13:$J95),SUM($J$13:$J95,$J96*(M95-A95)/(A96-A95))))</f>
        <v/>
      </c>
      <c r="L95" s="9" t="str">
        <f>IF(M95="","",IF(B96="",SUM($D$13:$D95,$R$12:$R95,$G$5:$G$10,$C$9,-$C$10),SUM($D$13:$D95,$R$12:$R95,$G$5:$G$10,$D96*(M95-A95)/(A96-A95),$C$9,-$C$10)))</f>
        <v/>
      </c>
      <c r="M95" s="15" t="str">
        <f t="shared" si="18"/>
        <v/>
      </c>
      <c r="N95" s="30" t="str">
        <f t="shared" si="14"/>
        <v/>
      </c>
      <c r="O95" s="53" t="str">
        <f t="shared" si="23"/>
        <v/>
      </c>
      <c r="P95" s="55" t="str">
        <f t="shared" si="24"/>
        <v/>
      </c>
      <c r="R95" s="56">
        <f>IF($H$1="人民币电汇",0,IF(OR($H$1="原币划转",$H$1="美元结汇"),产品成本表!G108,-产品成本表!E108))+正常测算!R95</f>
        <v>0</v>
      </c>
      <c r="S95" s="64" t="str">
        <f t="shared" si="15"/>
        <v/>
      </c>
      <c r="T95" s="65" t="str">
        <f t="shared" si="19"/>
        <v/>
      </c>
      <c r="U95" s="10" t="str">
        <f>IF(J95="","",J95*IF($E$5&lt;=0.5,产品成本表!$E$3,IF($E$5&lt;=1,产品成本表!$E$4,IF($E$5&lt;=3,产品成本表!$E$5,IF($E$5&lt;=5,产品成本表!$E$6,产品成本表!$E$7)))))</f>
        <v/>
      </c>
    </row>
    <row r="96" spans="1:21">
      <c r="A96" s="49" t="str">
        <f t="shared" si="20"/>
        <v/>
      </c>
      <c r="B96" s="50" t="str">
        <f>IF($E$5*$E$7&lt;84,"",84)</f>
        <v/>
      </c>
      <c r="C96" s="51" t="str">
        <f>正常测算!C96</f>
        <v/>
      </c>
      <c r="D96" s="51" t="str">
        <f>正常测算!D96</f>
        <v/>
      </c>
      <c r="E96" s="51" t="str">
        <f t="shared" si="21"/>
        <v/>
      </c>
      <c r="F96" s="52" t="str">
        <f t="shared" si="22"/>
        <v/>
      </c>
      <c r="G96" s="56" t="str">
        <f>IF(C96="","",IF(SUM(C97:C$134)=0,C96-C$7+C$8+G$10+H96+R96,C96+H96+R96))</f>
        <v/>
      </c>
      <c r="H96" s="56">
        <f>正常测算!H96</f>
        <v>0</v>
      </c>
      <c r="I96" s="9" t="str">
        <f t="shared" si="16"/>
        <v/>
      </c>
      <c r="J96" s="9" t="str">
        <f t="shared" si="17"/>
        <v/>
      </c>
      <c r="K96" s="9" t="str">
        <f>IF(M96="","",IF(B97="",SUM($J$13:$J96),SUM($J$13:$J96,$J97*(M96-A96)/(A97-A96))))</f>
        <v/>
      </c>
      <c r="L96" s="9" t="str">
        <f>IF(M96="","",IF(B97="",SUM($D$13:$D96,$R$12:$R96,$G$5:$G$10,$C$9,-$C$10),SUM($D$13:$D96,$R$12:$R96,$G$5:$G$10,$D97*(M96-A96)/(A97-A96),$C$9,-$C$10)))</f>
        <v/>
      </c>
      <c r="M96" s="15" t="str">
        <f t="shared" si="18"/>
        <v/>
      </c>
      <c r="N96" s="30" t="str">
        <f t="shared" si="14"/>
        <v/>
      </c>
      <c r="O96" s="53" t="str">
        <f t="shared" si="23"/>
        <v/>
      </c>
      <c r="P96" s="55" t="str">
        <f t="shared" si="24"/>
        <v/>
      </c>
      <c r="R96" s="56">
        <f>IF($H$1="人民币电汇",0,IF(OR($H$1="原币划转",$H$1="美元结汇"),产品成本表!G109,-产品成本表!E109))+正常测算!R96</f>
        <v>0</v>
      </c>
      <c r="S96" s="64" t="str">
        <f t="shared" si="15"/>
        <v/>
      </c>
      <c r="T96" s="65" t="str">
        <f t="shared" si="19"/>
        <v/>
      </c>
      <c r="U96" s="10" t="str">
        <f>IF(J96="","",J96*IF($E$5&lt;=0.5,产品成本表!$E$3,IF($E$5&lt;=1,产品成本表!$E$4,IF($E$5&lt;=3,产品成本表!$E$5,IF($E$5&lt;=5,产品成本表!$E$6,产品成本表!$E$7)))))</f>
        <v/>
      </c>
    </row>
    <row r="97" spans="1:21">
      <c r="A97" s="49" t="str">
        <f t="shared" si="20"/>
        <v/>
      </c>
      <c r="B97" s="50" t="str">
        <f>IF($E$5*$E$7&lt;85,"",85)</f>
        <v/>
      </c>
      <c r="C97" s="51" t="str">
        <f>正常测算!C97</f>
        <v/>
      </c>
      <c r="D97" s="51" t="str">
        <f>正常测算!D97</f>
        <v/>
      </c>
      <c r="E97" s="51" t="str">
        <f t="shared" si="21"/>
        <v/>
      </c>
      <c r="F97" s="52" t="str">
        <f t="shared" si="22"/>
        <v/>
      </c>
      <c r="G97" s="56" t="str">
        <f>IF(C97="","",IF(SUM(C98:C$134)=0,C97-C$7+C$8+G$10+H97+R97,C97+H97+R97))</f>
        <v/>
      </c>
      <c r="H97" s="56">
        <f>正常测算!H97</f>
        <v>0</v>
      </c>
      <c r="I97" s="9" t="str">
        <f t="shared" si="16"/>
        <v/>
      </c>
      <c r="J97" s="9" t="str">
        <f t="shared" si="17"/>
        <v/>
      </c>
      <c r="K97" s="9" t="str">
        <f>IF(M97="","",IF(B98="",SUM($J$13:$J97),SUM($J$13:$J97,$J98*(M97-A97)/(A98-A97))))</f>
        <v/>
      </c>
      <c r="L97" s="9" t="str">
        <f>IF(M97="","",IF(B98="",SUM($D$13:$D97,$R$12:$R97,$G$5:$G$10,$C$9,-$C$10),SUM($D$13:$D97,$R$12:$R97,$G$5:$G$10,$D98*(M97-A97)/(A98-A97),$C$9,-$C$10)))</f>
        <v/>
      </c>
      <c r="M97" s="15" t="str">
        <f t="shared" si="18"/>
        <v/>
      </c>
      <c r="N97" s="30" t="str">
        <f t="shared" si="14"/>
        <v/>
      </c>
      <c r="O97" s="53" t="str">
        <f t="shared" si="23"/>
        <v/>
      </c>
      <c r="P97" s="55" t="str">
        <f t="shared" si="24"/>
        <v/>
      </c>
      <c r="R97" s="56">
        <f>IF($H$1="人民币电汇",0,IF(OR($H$1="原币划转",$H$1="美元结汇"),产品成本表!G110,-产品成本表!E110))+正常测算!R97</f>
        <v>0</v>
      </c>
      <c r="S97" s="64" t="str">
        <f t="shared" si="15"/>
        <v/>
      </c>
      <c r="T97" s="65" t="str">
        <f t="shared" si="19"/>
        <v/>
      </c>
      <c r="U97" s="10" t="str">
        <f>IF(J97="","",J97*IF($E$5&lt;=0.5,产品成本表!$E$3,IF($E$5&lt;=1,产品成本表!$E$4,IF($E$5&lt;=3,产品成本表!$E$5,IF($E$5&lt;=5,产品成本表!$E$6,产品成本表!$E$7)))))</f>
        <v/>
      </c>
    </row>
    <row r="98" spans="1:21">
      <c r="A98" s="49" t="str">
        <f t="shared" si="20"/>
        <v/>
      </c>
      <c r="B98" s="50" t="str">
        <f>IF($E$5*$E$7&lt;86,"",86)</f>
        <v/>
      </c>
      <c r="C98" s="51" t="str">
        <f>正常测算!C98</f>
        <v/>
      </c>
      <c r="D98" s="51" t="str">
        <f>正常测算!D98</f>
        <v/>
      </c>
      <c r="E98" s="51" t="str">
        <f t="shared" si="21"/>
        <v/>
      </c>
      <c r="F98" s="52" t="str">
        <f t="shared" si="22"/>
        <v/>
      </c>
      <c r="G98" s="56" t="str">
        <f>IF(C98="","",IF(SUM(C99:C$134)=0,C98-C$7+C$8+G$10+H98+R98,C98+H98+R98))</f>
        <v/>
      </c>
      <c r="H98" s="56">
        <f>正常测算!H98</f>
        <v>0</v>
      </c>
      <c r="I98" s="9" t="str">
        <f t="shared" si="16"/>
        <v/>
      </c>
      <c r="J98" s="9" t="str">
        <f t="shared" si="17"/>
        <v/>
      </c>
      <c r="K98" s="9" t="str">
        <f>IF(M98="","",IF(B99="",SUM($J$13:$J98),SUM($J$13:$J98,$J99*(M98-A98)/(A99-A98))))</f>
        <v/>
      </c>
      <c r="L98" s="9" t="str">
        <f>IF(M98="","",IF(B99="",SUM($D$13:$D98,$R$12:$R98,$G$5:$G$10,$C$9,-$C$10),SUM($D$13:$D98,$R$12:$R98,$G$5:$G$10,$D99*(M98-A98)/(A99-A98),$C$9,-$C$10)))</f>
        <v/>
      </c>
      <c r="M98" s="15" t="str">
        <f t="shared" si="18"/>
        <v/>
      </c>
      <c r="N98" s="30" t="str">
        <f t="shared" si="14"/>
        <v/>
      </c>
      <c r="O98" s="53" t="str">
        <f t="shared" si="23"/>
        <v/>
      </c>
      <c r="P98" s="55" t="str">
        <f t="shared" si="24"/>
        <v/>
      </c>
      <c r="R98" s="56">
        <f>IF($H$1="人民币电汇",0,IF(OR($H$1="原币划转",$H$1="美元结汇"),产品成本表!G111,-产品成本表!E111))+正常测算!R98</f>
        <v>0</v>
      </c>
      <c r="S98" s="64" t="str">
        <f t="shared" si="15"/>
        <v/>
      </c>
      <c r="T98" s="65" t="str">
        <f t="shared" si="19"/>
        <v/>
      </c>
      <c r="U98" s="10" t="str">
        <f>IF(J98="","",J98*IF($E$5&lt;=0.5,产品成本表!$E$3,IF($E$5&lt;=1,产品成本表!$E$4,IF($E$5&lt;=3,产品成本表!$E$5,IF($E$5&lt;=5,产品成本表!$E$6,产品成本表!$E$7)))))</f>
        <v/>
      </c>
    </row>
    <row r="99" spans="1:21">
      <c r="A99" s="49" t="str">
        <f t="shared" si="20"/>
        <v/>
      </c>
      <c r="B99" s="50" t="str">
        <f>IF($E$5*$E$7&lt;87,"",87)</f>
        <v/>
      </c>
      <c r="C99" s="51" t="str">
        <f>正常测算!C99</f>
        <v/>
      </c>
      <c r="D99" s="51" t="str">
        <f>正常测算!D99</f>
        <v/>
      </c>
      <c r="E99" s="51" t="str">
        <f t="shared" si="21"/>
        <v/>
      </c>
      <c r="F99" s="52" t="str">
        <f t="shared" si="22"/>
        <v/>
      </c>
      <c r="G99" s="56" t="str">
        <f>IF(C99="","",IF(SUM(C100:C$134)=0,C99-C$7+C$8+G$10+H99+R99,C99+H99+R99))</f>
        <v/>
      </c>
      <c r="H99" s="56">
        <f>正常测算!H99</f>
        <v>0</v>
      </c>
      <c r="I99" s="9" t="str">
        <f t="shared" si="16"/>
        <v/>
      </c>
      <c r="J99" s="9" t="str">
        <f t="shared" si="17"/>
        <v/>
      </c>
      <c r="K99" s="9" t="str">
        <f>IF(M99="","",IF(B100="",SUM($J$13:$J99),SUM($J$13:$J99,$J100*(M99-A99)/(A100-A99))))</f>
        <v/>
      </c>
      <c r="L99" s="9" t="str">
        <f>IF(M99="","",IF(B100="",SUM($D$13:$D99,$R$12:$R99,$G$5:$G$10,$C$9,-$C$10),SUM($D$13:$D99,$R$12:$R99,$G$5:$G$10,$D100*(M99-A99)/(A100-A99),$C$9,-$C$10)))</f>
        <v/>
      </c>
      <c r="M99" s="15" t="str">
        <f t="shared" si="18"/>
        <v/>
      </c>
      <c r="N99" s="30" t="str">
        <f t="shared" si="14"/>
        <v/>
      </c>
      <c r="O99" s="53" t="str">
        <f t="shared" si="23"/>
        <v/>
      </c>
      <c r="P99" s="55" t="str">
        <f t="shared" si="24"/>
        <v/>
      </c>
      <c r="R99" s="56">
        <f>IF($H$1="人民币电汇",0,IF(OR($H$1="原币划转",$H$1="美元结汇"),产品成本表!G112,-产品成本表!E112))+正常测算!R99</f>
        <v>0</v>
      </c>
      <c r="S99" s="64" t="str">
        <f t="shared" si="15"/>
        <v/>
      </c>
      <c r="T99" s="65" t="str">
        <f t="shared" si="19"/>
        <v/>
      </c>
      <c r="U99" s="10" t="str">
        <f>IF(J99="","",J99*IF($E$5&lt;=0.5,产品成本表!$E$3,IF($E$5&lt;=1,产品成本表!$E$4,IF($E$5&lt;=3,产品成本表!$E$5,IF($E$5&lt;=5,产品成本表!$E$6,产品成本表!$E$7)))))</f>
        <v/>
      </c>
    </row>
    <row r="100" spans="1:21">
      <c r="A100" s="49" t="str">
        <f t="shared" si="20"/>
        <v/>
      </c>
      <c r="B100" s="50" t="str">
        <f>IF($E$5*$E$7&lt;88,"",88)</f>
        <v/>
      </c>
      <c r="C100" s="51" t="str">
        <f>正常测算!C100</f>
        <v/>
      </c>
      <c r="D100" s="51" t="str">
        <f>正常测算!D100</f>
        <v/>
      </c>
      <c r="E100" s="51" t="str">
        <f t="shared" si="21"/>
        <v/>
      </c>
      <c r="F100" s="52" t="str">
        <f t="shared" si="22"/>
        <v/>
      </c>
      <c r="G100" s="56" t="str">
        <f>IF(C100="","",IF(SUM(C101:C$134)=0,C100-C$7+C$8+G$10+H100+R100,C100+H100+R100))</f>
        <v/>
      </c>
      <c r="H100" s="56">
        <f>正常测算!H100</f>
        <v>0</v>
      </c>
      <c r="I100" s="9" t="str">
        <f t="shared" si="16"/>
        <v/>
      </c>
      <c r="J100" s="9" t="str">
        <f t="shared" si="17"/>
        <v/>
      </c>
      <c r="K100" s="9" t="str">
        <f>IF(M100="","",IF(B101="",SUM($J$13:$J100),SUM($J$13:$J100,$J101*(M100-A100)/(A101-A100))))</f>
        <v/>
      </c>
      <c r="L100" s="9" t="str">
        <f>IF(M100="","",IF(B101="",SUM($D$13:$D100,$R$12:$R100,$G$5:$G$10,$C$9,-$C$10),SUM($D$13:$D100,$R$12:$R100,$G$5:$G$10,$D101*(M100-A100)/(A101-A100),$C$9,-$C$10)))</f>
        <v/>
      </c>
      <c r="M100" s="15" t="str">
        <f t="shared" si="18"/>
        <v/>
      </c>
      <c r="N100" s="30" t="str">
        <f t="shared" si="14"/>
        <v/>
      </c>
      <c r="O100" s="53" t="str">
        <f t="shared" si="23"/>
        <v/>
      </c>
      <c r="P100" s="55" t="str">
        <f t="shared" si="24"/>
        <v/>
      </c>
      <c r="R100" s="56">
        <f>IF($H$1="人民币电汇",0,IF(OR($H$1="原币划转",$H$1="美元结汇"),产品成本表!G113,-产品成本表!E113))+正常测算!R100</f>
        <v>0</v>
      </c>
      <c r="S100" s="64" t="str">
        <f t="shared" si="15"/>
        <v/>
      </c>
      <c r="T100" s="65" t="str">
        <f t="shared" si="19"/>
        <v/>
      </c>
      <c r="U100" s="10" t="str">
        <f>IF(J100="","",J100*IF($E$5&lt;=0.5,产品成本表!$E$3,IF($E$5&lt;=1,产品成本表!$E$4,IF($E$5&lt;=3,产品成本表!$E$5,IF($E$5&lt;=5,产品成本表!$E$6,产品成本表!$E$7)))))</f>
        <v/>
      </c>
    </row>
    <row r="101" spans="1:21">
      <c r="A101" s="49" t="str">
        <f t="shared" si="20"/>
        <v/>
      </c>
      <c r="B101" s="50" t="str">
        <f>IF($E$5*$E$7&lt;89,"",89)</f>
        <v/>
      </c>
      <c r="C101" s="51" t="str">
        <f>正常测算!C101</f>
        <v/>
      </c>
      <c r="D101" s="51" t="str">
        <f>正常测算!D101</f>
        <v/>
      </c>
      <c r="E101" s="51" t="str">
        <f t="shared" si="21"/>
        <v/>
      </c>
      <c r="F101" s="52" t="str">
        <f t="shared" si="22"/>
        <v/>
      </c>
      <c r="G101" s="56" t="str">
        <f>IF(C101="","",IF(SUM(C102:C$134)=0,C101-C$7+C$8+G$10+H101+R101,C101+H101+R101))</f>
        <v/>
      </c>
      <c r="H101" s="56">
        <f>正常测算!H101</f>
        <v>0</v>
      </c>
      <c r="I101" s="9" t="str">
        <f t="shared" si="16"/>
        <v/>
      </c>
      <c r="J101" s="9" t="str">
        <f t="shared" si="17"/>
        <v/>
      </c>
      <c r="K101" s="9" t="str">
        <f>IF(M101="","",IF(B102="",SUM($J$13:$J101),SUM($J$13:$J101,$J102*(M101-A101)/(A102-A101))))</f>
        <v/>
      </c>
      <c r="L101" s="9" t="str">
        <f>IF(M101="","",IF(B102="",SUM($D$13:$D101,$R$12:$R101,$G$5:$G$10,$C$9,-$C$10),SUM($D$13:$D101,$R$12:$R101,$G$5:$G$10,$D102*(M101-A101)/(A102-A101),$C$9,-$C$10)))</f>
        <v/>
      </c>
      <c r="M101" s="15" t="str">
        <f t="shared" si="18"/>
        <v/>
      </c>
      <c r="N101" s="30" t="str">
        <f t="shared" si="14"/>
        <v/>
      </c>
      <c r="O101" s="53" t="str">
        <f t="shared" si="23"/>
        <v/>
      </c>
      <c r="P101" s="55" t="str">
        <f t="shared" si="24"/>
        <v/>
      </c>
      <c r="R101" s="56">
        <f>IF($H$1="人民币电汇",0,IF(OR($H$1="原币划转",$H$1="美元结汇"),产品成本表!G114,-产品成本表!E114))+正常测算!R101</f>
        <v>0</v>
      </c>
      <c r="S101" s="64" t="str">
        <f t="shared" si="15"/>
        <v/>
      </c>
      <c r="T101" s="65" t="str">
        <f t="shared" si="19"/>
        <v/>
      </c>
      <c r="U101" s="10" t="str">
        <f>IF(J101="","",J101*IF($E$5&lt;=0.5,产品成本表!$E$3,IF($E$5&lt;=1,产品成本表!$E$4,IF($E$5&lt;=3,产品成本表!$E$5,IF($E$5&lt;=5,产品成本表!$E$6,产品成本表!$E$7)))))</f>
        <v/>
      </c>
    </row>
    <row r="102" spans="1:21">
      <c r="A102" s="49" t="str">
        <f t="shared" si="20"/>
        <v/>
      </c>
      <c r="B102" s="50" t="str">
        <f>IF($E$5*$E$7&lt;90,"",90)</f>
        <v/>
      </c>
      <c r="C102" s="51" t="str">
        <f>正常测算!C102</f>
        <v/>
      </c>
      <c r="D102" s="51" t="str">
        <f>正常测算!D102</f>
        <v/>
      </c>
      <c r="E102" s="51" t="str">
        <f t="shared" si="21"/>
        <v/>
      </c>
      <c r="F102" s="52" t="str">
        <f t="shared" si="22"/>
        <v/>
      </c>
      <c r="G102" s="56" t="str">
        <f>IF(C102="","",IF(SUM(C103:C$134)=0,C102-C$7+C$8+G$10+H102+R102,C102+H102+R102))</f>
        <v/>
      </c>
      <c r="H102" s="56">
        <f>正常测算!H102</f>
        <v>0</v>
      </c>
      <c r="I102" s="9" t="str">
        <f t="shared" si="16"/>
        <v/>
      </c>
      <c r="J102" s="9" t="str">
        <f t="shared" si="17"/>
        <v/>
      </c>
      <c r="K102" s="9" t="str">
        <f>IF(M102="","",IF(B103="",SUM($J$13:$J102),SUM($J$13:$J102,$J103*(M102-A102)/(A103-A102))))</f>
        <v/>
      </c>
      <c r="L102" s="9" t="str">
        <f>IF(M102="","",IF(B103="",SUM($D$13:$D102,$R$12:$R102,$G$5:$G$10,$C$9,-$C$10),SUM($D$13:$D102,$R$12:$R102,$G$5:$G$10,$D103*(M102-A102)/(A103-A102),$C$9,-$C$10)))</f>
        <v/>
      </c>
      <c r="M102" s="15" t="str">
        <f t="shared" si="18"/>
        <v/>
      </c>
      <c r="N102" s="30" t="str">
        <f t="shared" si="14"/>
        <v/>
      </c>
      <c r="O102" s="53" t="str">
        <f t="shared" si="23"/>
        <v/>
      </c>
      <c r="P102" s="55" t="str">
        <f t="shared" si="24"/>
        <v/>
      </c>
      <c r="R102" s="56">
        <f>IF($H$1="人民币电汇",0,IF(OR($H$1="原币划转",$H$1="美元结汇"),产品成本表!G115,-产品成本表!E115))+正常测算!R102</f>
        <v>0</v>
      </c>
      <c r="S102" s="64" t="str">
        <f t="shared" si="15"/>
        <v/>
      </c>
      <c r="T102" s="65" t="str">
        <f t="shared" si="19"/>
        <v/>
      </c>
      <c r="U102" s="10" t="str">
        <f>IF(J102="","",J102*IF($E$5&lt;=0.5,产品成本表!$E$3,IF($E$5&lt;=1,产品成本表!$E$4,IF($E$5&lt;=3,产品成本表!$E$5,IF($E$5&lt;=5,产品成本表!$E$6,产品成本表!$E$7)))))</f>
        <v/>
      </c>
    </row>
    <row r="103" spans="1:21">
      <c r="A103" s="49" t="str">
        <f t="shared" si="20"/>
        <v/>
      </c>
      <c r="B103" s="50" t="str">
        <f>IF($E$5*$E$7&lt;91,"",91)</f>
        <v/>
      </c>
      <c r="C103" s="51" t="str">
        <f>正常测算!C103</f>
        <v/>
      </c>
      <c r="D103" s="51" t="str">
        <f>正常测算!D103</f>
        <v/>
      </c>
      <c r="E103" s="51" t="str">
        <f t="shared" si="21"/>
        <v/>
      </c>
      <c r="F103" s="52" t="str">
        <f t="shared" si="22"/>
        <v/>
      </c>
      <c r="G103" s="56" t="str">
        <f>IF(C103="","",IF(SUM(C104:C$134)=0,C103-C$7+C$8+G$10+H103+R103,C103+H103+R103))</f>
        <v/>
      </c>
      <c r="H103" s="56">
        <f>正常测算!H103</f>
        <v>0</v>
      </c>
      <c r="I103" s="9" t="str">
        <f t="shared" si="16"/>
        <v/>
      </c>
      <c r="J103" s="9" t="str">
        <f t="shared" si="17"/>
        <v/>
      </c>
      <c r="K103" s="9" t="str">
        <f>IF(M103="","",IF(B104="",SUM($J$13:$J103),SUM($J$13:$J103,$J104*(M103-A103)/(A104-A103))))</f>
        <v/>
      </c>
      <c r="L103" s="9" t="str">
        <f>IF(M103="","",IF(B104="",SUM($D$13:$D103,$R$12:$R103,$G$5:$G$10,$C$9,-$C$10),SUM($D$13:$D103,$R$12:$R103,$G$5:$G$10,$D104*(M103-A103)/(A104-A103),$C$9,-$C$10)))</f>
        <v/>
      </c>
      <c r="M103" s="15" t="str">
        <f t="shared" si="18"/>
        <v/>
      </c>
      <c r="N103" s="30" t="str">
        <f t="shared" si="14"/>
        <v/>
      </c>
      <c r="O103" s="53" t="str">
        <f t="shared" si="23"/>
        <v/>
      </c>
      <c r="P103" s="55" t="str">
        <f t="shared" si="24"/>
        <v/>
      </c>
      <c r="R103" s="56">
        <f>IF($H$1="人民币电汇",0,IF(OR($H$1="原币划转",$H$1="美元结汇"),产品成本表!G116,-产品成本表!E116))+正常测算!R103</f>
        <v>0</v>
      </c>
      <c r="S103" s="64" t="str">
        <f t="shared" si="15"/>
        <v/>
      </c>
      <c r="T103" s="65" t="str">
        <f t="shared" si="19"/>
        <v/>
      </c>
      <c r="U103" s="10" t="str">
        <f>IF(J103="","",J103*IF($E$5&lt;=0.5,产品成本表!$E$3,IF($E$5&lt;=1,产品成本表!$E$4,IF($E$5&lt;=3,产品成本表!$E$5,IF($E$5&lt;=5,产品成本表!$E$6,产品成本表!$E$7)))))</f>
        <v/>
      </c>
    </row>
    <row r="104" spans="1:21">
      <c r="A104" s="49" t="str">
        <f t="shared" si="20"/>
        <v/>
      </c>
      <c r="B104" s="50" t="str">
        <f>IF($E$5*$E$7&lt;92,"",92)</f>
        <v/>
      </c>
      <c r="C104" s="51" t="str">
        <f>正常测算!C104</f>
        <v/>
      </c>
      <c r="D104" s="51" t="str">
        <f>正常测算!D104</f>
        <v/>
      </c>
      <c r="E104" s="51" t="str">
        <f t="shared" si="21"/>
        <v/>
      </c>
      <c r="F104" s="52" t="str">
        <f t="shared" si="22"/>
        <v/>
      </c>
      <c r="G104" s="56" t="str">
        <f>IF(C104="","",IF(SUM(C105:C$134)=0,C104-C$7+C$8+G$10+H104+R104,C104+H104+R104))</f>
        <v/>
      </c>
      <c r="H104" s="56">
        <f>正常测算!H104</f>
        <v>0</v>
      </c>
      <c r="I104" s="9" t="str">
        <f t="shared" si="16"/>
        <v/>
      </c>
      <c r="J104" s="9" t="str">
        <f t="shared" si="17"/>
        <v/>
      </c>
      <c r="K104" s="9" t="str">
        <f>IF(M104="","",IF(B105="",SUM($J$13:$J104),SUM($J$13:$J104,$J105*(M104-A104)/(A105-A104))))</f>
        <v/>
      </c>
      <c r="L104" s="9" t="str">
        <f>IF(M104="","",IF(B105="",SUM($D$13:$D104,$R$12:$R104,$G$5:$G$10,$C$9,-$C$10),SUM($D$13:$D104,$R$12:$R104,$G$5:$G$10,$D105*(M104-A104)/(A105-A104),$C$9,-$C$10)))</f>
        <v/>
      </c>
      <c r="M104" s="15" t="str">
        <f t="shared" si="18"/>
        <v/>
      </c>
      <c r="N104" s="30" t="str">
        <f t="shared" si="14"/>
        <v/>
      </c>
      <c r="O104" s="53" t="str">
        <f t="shared" si="23"/>
        <v/>
      </c>
      <c r="P104" s="55" t="str">
        <f t="shared" si="24"/>
        <v/>
      </c>
      <c r="R104" s="56">
        <f>IF($H$1="人民币电汇",0,IF(OR($H$1="原币划转",$H$1="美元结汇"),产品成本表!G117,-产品成本表!E117))+正常测算!R104</f>
        <v>0</v>
      </c>
      <c r="S104" s="64" t="str">
        <f t="shared" si="15"/>
        <v/>
      </c>
      <c r="T104" s="65" t="str">
        <f t="shared" si="19"/>
        <v/>
      </c>
      <c r="U104" s="10" t="str">
        <f>IF(J104="","",J104*IF($E$5&lt;=0.5,产品成本表!$E$3,IF($E$5&lt;=1,产品成本表!$E$4,IF($E$5&lt;=3,产品成本表!$E$5,IF($E$5&lt;=5,产品成本表!$E$6,产品成本表!$E$7)))))</f>
        <v/>
      </c>
    </row>
    <row r="105" spans="1:21">
      <c r="A105" s="49" t="str">
        <f t="shared" si="20"/>
        <v/>
      </c>
      <c r="B105" s="50" t="str">
        <f>IF($E$5*$E$7&lt;93,"",93)</f>
        <v/>
      </c>
      <c r="C105" s="51" t="str">
        <f>正常测算!C105</f>
        <v/>
      </c>
      <c r="D105" s="51" t="str">
        <f>正常测算!D105</f>
        <v/>
      </c>
      <c r="E105" s="51" t="str">
        <f t="shared" si="21"/>
        <v/>
      </c>
      <c r="F105" s="52" t="str">
        <f t="shared" si="22"/>
        <v/>
      </c>
      <c r="G105" s="56" t="str">
        <f>IF(C105="","",IF(SUM(C106:C$134)=0,C105-C$7+C$8+G$10+H105+R105,C105+H105+R105))</f>
        <v/>
      </c>
      <c r="H105" s="56">
        <f>正常测算!H105</f>
        <v>0</v>
      </c>
      <c r="I105" s="9" t="str">
        <f t="shared" si="16"/>
        <v/>
      </c>
      <c r="J105" s="9" t="str">
        <f t="shared" si="17"/>
        <v/>
      </c>
      <c r="K105" s="9" t="str">
        <f>IF(M105="","",IF(B106="",SUM($J$13:$J105),SUM($J$13:$J105,$J106*(M105-A105)/(A106-A105))))</f>
        <v/>
      </c>
      <c r="L105" s="9" t="str">
        <f>IF(M105="","",IF(B106="",SUM($D$13:$D105,$R$12:$R105,$G$5:$G$10,$C$9,-$C$10),SUM($D$13:$D105,$R$12:$R105,$G$5:$G$10,$D106*(M105-A105)/(A106-A105),$C$9,-$C$10)))</f>
        <v/>
      </c>
      <c r="M105" s="15" t="str">
        <f t="shared" si="18"/>
        <v/>
      </c>
      <c r="N105" s="30" t="str">
        <f t="shared" si="14"/>
        <v/>
      </c>
      <c r="O105" s="53" t="str">
        <f t="shared" si="23"/>
        <v/>
      </c>
      <c r="P105" s="55" t="str">
        <f t="shared" si="24"/>
        <v/>
      </c>
      <c r="R105" s="56">
        <f>IF($H$1="人民币电汇",0,IF(OR($H$1="原币划转",$H$1="美元结汇"),产品成本表!G118,-产品成本表!E118))+正常测算!R105</f>
        <v>0</v>
      </c>
      <c r="S105" s="64" t="str">
        <f t="shared" si="15"/>
        <v/>
      </c>
      <c r="T105" s="65" t="str">
        <f t="shared" si="19"/>
        <v/>
      </c>
      <c r="U105" s="10" t="str">
        <f>IF(J105="","",J105*IF($E$5&lt;=0.5,产品成本表!$E$3,IF($E$5&lt;=1,产品成本表!$E$4,IF($E$5&lt;=3,产品成本表!$E$5,IF($E$5&lt;=5,产品成本表!$E$6,产品成本表!$E$7)))))</f>
        <v/>
      </c>
    </row>
    <row r="106" spans="1:21">
      <c r="A106" s="49" t="str">
        <f t="shared" si="20"/>
        <v/>
      </c>
      <c r="B106" s="50" t="str">
        <f>IF($E$5*$E$7&lt;94,"",94)</f>
        <v/>
      </c>
      <c r="C106" s="51" t="str">
        <f>正常测算!C106</f>
        <v/>
      </c>
      <c r="D106" s="51" t="str">
        <f>正常测算!D106</f>
        <v/>
      </c>
      <c r="E106" s="51" t="str">
        <f t="shared" si="21"/>
        <v/>
      </c>
      <c r="F106" s="52" t="str">
        <f t="shared" si="22"/>
        <v/>
      </c>
      <c r="G106" s="56" t="str">
        <f>IF(C106="","",IF(SUM(C107:C$134)=0,C106-C$7+C$8+G$10+H106+R106,C106+H106+R106))</f>
        <v/>
      </c>
      <c r="H106" s="56">
        <f>正常测算!H106</f>
        <v>0</v>
      </c>
      <c r="I106" s="9" t="str">
        <f t="shared" si="16"/>
        <v/>
      </c>
      <c r="J106" s="9" t="str">
        <f t="shared" si="17"/>
        <v/>
      </c>
      <c r="K106" s="9" t="str">
        <f>IF(M106="","",IF(B107="",SUM($J$13:$J106),SUM($J$13:$J106,$J107*(M106-A106)/(A107-A106))))</f>
        <v/>
      </c>
      <c r="L106" s="9" t="str">
        <f>IF(M106="","",IF(B107="",SUM($D$13:$D106,$R$12:$R106,$G$5:$G$10,$C$9,-$C$10),SUM($D$13:$D106,$R$12:$R106,$G$5:$G$10,$D107*(M106-A106)/(A107-A106),$C$9,-$C$10)))</f>
        <v/>
      </c>
      <c r="M106" s="15" t="str">
        <f t="shared" si="18"/>
        <v/>
      </c>
      <c r="N106" s="30" t="str">
        <f t="shared" si="14"/>
        <v/>
      </c>
      <c r="O106" s="53" t="str">
        <f t="shared" si="23"/>
        <v/>
      </c>
      <c r="P106" s="55" t="str">
        <f t="shared" si="24"/>
        <v/>
      </c>
      <c r="R106" s="56">
        <f>IF($H$1="人民币电汇",0,IF(OR($H$1="原币划转",$H$1="美元结汇"),产品成本表!G119,-产品成本表!E119))+正常测算!R106</f>
        <v>0</v>
      </c>
      <c r="S106" s="64" t="str">
        <f t="shared" si="15"/>
        <v/>
      </c>
      <c r="T106" s="65" t="str">
        <f t="shared" si="19"/>
        <v/>
      </c>
      <c r="U106" s="10" t="str">
        <f>IF(J106="","",J106*IF($E$5&lt;=0.5,产品成本表!$E$3,IF($E$5&lt;=1,产品成本表!$E$4,IF($E$5&lt;=3,产品成本表!$E$5,IF($E$5&lt;=5,产品成本表!$E$6,产品成本表!$E$7)))))</f>
        <v/>
      </c>
    </row>
    <row r="107" spans="1:21">
      <c r="A107" s="49" t="str">
        <f t="shared" si="20"/>
        <v/>
      </c>
      <c r="B107" s="50" t="str">
        <f>IF($E$5*$E$7&lt;95,"",95)</f>
        <v/>
      </c>
      <c r="C107" s="51" t="str">
        <f>正常测算!C107</f>
        <v/>
      </c>
      <c r="D107" s="51" t="str">
        <f>正常测算!D107</f>
        <v/>
      </c>
      <c r="E107" s="51" t="str">
        <f t="shared" si="21"/>
        <v/>
      </c>
      <c r="F107" s="52" t="str">
        <f t="shared" si="22"/>
        <v/>
      </c>
      <c r="G107" s="56" t="str">
        <f>IF(C107="","",IF(SUM(C108:C$134)=0,C107-C$7+C$8+G$10+H107+R107,C107+H107+R107))</f>
        <v/>
      </c>
      <c r="H107" s="56">
        <f>正常测算!H107</f>
        <v>0</v>
      </c>
      <c r="I107" s="9" t="str">
        <f t="shared" si="16"/>
        <v/>
      </c>
      <c r="J107" s="9" t="str">
        <f t="shared" si="17"/>
        <v/>
      </c>
      <c r="K107" s="9" t="str">
        <f>IF(M107="","",IF(B108="",SUM($J$13:$J107),SUM($J$13:$J107,$J108*(M107-A107)/(A108-A107))))</f>
        <v/>
      </c>
      <c r="L107" s="9" t="str">
        <f>IF(M107="","",IF(B108="",SUM($D$13:$D107,$R$12:$R107,$G$5:$G$10,$C$9,-$C$10),SUM($D$13:$D107,$R$12:$R107,$G$5:$G$10,$D108*(M107-A107)/(A108-A107),$C$9,-$C$10)))</f>
        <v/>
      </c>
      <c r="M107" s="15" t="str">
        <f t="shared" si="18"/>
        <v/>
      </c>
      <c r="N107" s="30" t="str">
        <f t="shared" si="14"/>
        <v/>
      </c>
      <c r="O107" s="53" t="str">
        <f t="shared" si="23"/>
        <v/>
      </c>
      <c r="P107" s="55" t="str">
        <f t="shared" si="24"/>
        <v/>
      </c>
      <c r="R107" s="56">
        <f>IF($H$1="人民币电汇",0,IF(OR($H$1="原币划转",$H$1="美元结汇"),产品成本表!G120,-产品成本表!E120))+正常测算!R107</f>
        <v>0</v>
      </c>
      <c r="S107" s="64" t="str">
        <f t="shared" si="15"/>
        <v/>
      </c>
      <c r="T107" s="65" t="str">
        <f t="shared" si="19"/>
        <v/>
      </c>
      <c r="U107" s="10" t="str">
        <f>IF(J107="","",J107*IF($E$5&lt;=0.5,产品成本表!$E$3,IF($E$5&lt;=1,产品成本表!$E$4,IF($E$5&lt;=3,产品成本表!$E$5,IF($E$5&lt;=5,产品成本表!$E$6,产品成本表!$E$7)))))</f>
        <v/>
      </c>
    </row>
    <row r="108" spans="1:21">
      <c r="A108" s="49" t="str">
        <f t="shared" si="20"/>
        <v/>
      </c>
      <c r="B108" s="50" t="str">
        <f>IF($E$5*$E$7&lt;96,"",96)</f>
        <v/>
      </c>
      <c r="C108" s="51" t="str">
        <f>正常测算!C108</f>
        <v/>
      </c>
      <c r="D108" s="51" t="str">
        <f>正常测算!D108</f>
        <v/>
      </c>
      <c r="E108" s="51" t="str">
        <f t="shared" si="21"/>
        <v/>
      </c>
      <c r="F108" s="52" t="str">
        <f t="shared" si="22"/>
        <v/>
      </c>
      <c r="G108" s="56" t="str">
        <f>IF(C108="","",IF(SUM(C109:C$134)=0,C108-C$7+C$8+G$10+H108+R108,C108+H108+R108))</f>
        <v/>
      </c>
      <c r="H108" s="56">
        <f>正常测算!H108</f>
        <v>0</v>
      </c>
      <c r="I108" s="9" t="str">
        <f t="shared" si="16"/>
        <v/>
      </c>
      <c r="J108" s="9" t="str">
        <f t="shared" si="17"/>
        <v/>
      </c>
      <c r="K108" s="9" t="str">
        <f>IF(M108="","",IF(B109="",SUM($J$13:$J108),SUM($J$13:$J108,$J109*(M108-A108)/(A109-A108))))</f>
        <v/>
      </c>
      <c r="L108" s="9" t="str">
        <f>IF(M108="","",IF(B109="",SUM($D$13:$D108,$R$12:$R108,$G$5:$G$10,$C$9,-$C$10),SUM($D$13:$D108,$R$12:$R108,$G$5:$G$10,$D109*(M108-A108)/(A109-A108),$C$9,-$C$10)))</f>
        <v/>
      </c>
      <c r="M108" s="15" t="str">
        <f t="shared" si="18"/>
        <v/>
      </c>
      <c r="N108" s="30" t="str">
        <f t="shared" si="14"/>
        <v/>
      </c>
      <c r="O108" s="53" t="str">
        <f t="shared" si="23"/>
        <v/>
      </c>
      <c r="P108" s="55" t="str">
        <f t="shared" si="24"/>
        <v/>
      </c>
      <c r="R108" s="56">
        <f>IF($H$1="人民币电汇",0,IF(OR($H$1="原币划转",$H$1="美元结汇"),产品成本表!G121,-产品成本表!E121))+正常测算!R108</f>
        <v>0</v>
      </c>
      <c r="S108" s="64" t="str">
        <f t="shared" si="15"/>
        <v/>
      </c>
      <c r="T108" s="65" t="str">
        <f t="shared" si="19"/>
        <v/>
      </c>
      <c r="U108" s="10" t="str">
        <f>IF(J108="","",J108*IF($E$5&lt;=0.5,产品成本表!$E$3,IF($E$5&lt;=1,产品成本表!$E$4,IF($E$5&lt;=3,产品成本表!$E$5,IF($E$5&lt;=5,产品成本表!$E$6,产品成本表!$E$7)))))</f>
        <v/>
      </c>
    </row>
    <row r="109" spans="1:21">
      <c r="A109" s="49" t="str">
        <f t="shared" si="20"/>
        <v/>
      </c>
      <c r="B109" s="50" t="str">
        <f>IF($E$5*$E$7&lt;97,"",97)</f>
        <v/>
      </c>
      <c r="C109" s="51" t="str">
        <f>正常测算!C109</f>
        <v/>
      </c>
      <c r="D109" s="51" t="str">
        <f>正常测算!D109</f>
        <v/>
      </c>
      <c r="E109" s="51" t="str">
        <f t="shared" si="21"/>
        <v/>
      </c>
      <c r="F109" s="52" t="str">
        <f t="shared" si="22"/>
        <v/>
      </c>
      <c r="G109" s="56" t="str">
        <f>IF(C109="","",IF(SUM(C110:C$134)=0,C109-C$7+C$8+G$10+H109+R109,C109+H109+R109))</f>
        <v/>
      </c>
      <c r="H109" s="56">
        <f>正常测算!H109</f>
        <v>0</v>
      </c>
      <c r="I109" s="9" t="str">
        <f t="shared" si="16"/>
        <v/>
      </c>
      <c r="J109" s="9" t="str">
        <f t="shared" si="17"/>
        <v/>
      </c>
      <c r="K109" s="9" t="str">
        <f>IF(M109="","",IF(B110="",SUM($J$13:$J109),SUM($J$13:$J109,$J110*(M109-A109)/(A110-A109))))</f>
        <v/>
      </c>
      <c r="L109" s="9" t="str">
        <f>IF(M109="","",IF(B110="",SUM($D$13:$D109,$R$12:$R109,$G$5:$G$10,$C$9,-$C$10),SUM($D$13:$D109,$R$12:$R109,$G$5:$G$10,$D110*(M109-A109)/(A110-A109),$C$9,-$C$10)))</f>
        <v/>
      </c>
      <c r="M109" s="15" t="str">
        <f t="shared" si="18"/>
        <v/>
      </c>
      <c r="N109" s="30" t="str">
        <f t="shared" si="14"/>
        <v/>
      </c>
      <c r="O109" s="53" t="str">
        <f t="shared" si="23"/>
        <v/>
      </c>
      <c r="P109" s="55" t="str">
        <f t="shared" si="24"/>
        <v/>
      </c>
      <c r="R109" s="56">
        <f>IF($H$1="人民币电汇",0,IF(OR($H$1="原币划转",$H$1="美元结汇"),产品成本表!G122,-产品成本表!E122))+正常测算!R109</f>
        <v>0</v>
      </c>
      <c r="S109" s="64" t="str">
        <f t="shared" si="15"/>
        <v/>
      </c>
      <c r="T109" s="65" t="str">
        <f t="shared" si="19"/>
        <v/>
      </c>
      <c r="U109" s="10" t="str">
        <f>IF(J109="","",J109*IF($E$5&lt;=0.5,产品成本表!$E$3,IF($E$5&lt;=1,产品成本表!$E$4,IF($E$5&lt;=3,产品成本表!$E$5,IF($E$5&lt;=5,产品成本表!$E$6,产品成本表!$E$7)))))</f>
        <v/>
      </c>
    </row>
    <row r="110" spans="1:21">
      <c r="A110" s="49" t="str">
        <f t="shared" si="20"/>
        <v/>
      </c>
      <c r="B110" s="50" t="str">
        <f>IF($E$5*$E$7&lt;98,"",98)</f>
        <v/>
      </c>
      <c r="C110" s="51" t="str">
        <f>正常测算!C110</f>
        <v/>
      </c>
      <c r="D110" s="51" t="str">
        <f>正常测算!D110</f>
        <v/>
      </c>
      <c r="E110" s="51" t="str">
        <f t="shared" si="21"/>
        <v/>
      </c>
      <c r="F110" s="52" t="str">
        <f t="shared" si="22"/>
        <v/>
      </c>
      <c r="G110" s="56" t="str">
        <f>IF(C110="","",IF(SUM(C111:C$134)=0,C110-C$7+C$8+G$10+H110+R110,C110+H110+R110))</f>
        <v/>
      </c>
      <c r="H110" s="56">
        <f>正常测算!H110</f>
        <v>0</v>
      </c>
      <c r="I110" s="9" t="str">
        <f t="shared" si="16"/>
        <v/>
      </c>
      <c r="J110" s="9" t="str">
        <f t="shared" si="17"/>
        <v/>
      </c>
      <c r="K110" s="9" t="str">
        <f>IF(M110="","",IF(B111="",SUM($J$13:$J110),SUM($J$13:$J110,$J111*(M110-A110)/(A111-A110))))</f>
        <v/>
      </c>
      <c r="L110" s="9" t="str">
        <f>IF(M110="","",IF(B111="",SUM($D$13:$D110,$R$12:$R110,$G$5:$G$10,$C$9,-$C$10),SUM($D$13:$D110,$R$12:$R110,$G$5:$G$10,$D111*(M110-A110)/(A111-A110),$C$9,-$C$10)))</f>
        <v/>
      </c>
      <c r="M110" s="15" t="str">
        <f t="shared" si="18"/>
        <v/>
      </c>
      <c r="N110" s="30" t="str">
        <f t="shared" si="14"/>
        <v/>
      </c>
      <c r="O110" s="53" t="str">
        <f t="shared" si="23"/>
        <v/>
      </c>
      <c r="P110" s="55" t="str">
        <f t="shared" si="24"/>
        <v/>
      </c>
      <c r="R110" s="56">
        <f>IF($H$1="人民币电汇",0,IF(OR($H$1="原币划转",$H$1="美元结汇"),产品成本表!G123,-产品成本表!E123))+正常测算!R110</f>
        <v>0</v>
      </c>
      <c r="S110" s="64" t="str">
        <f t="shared" si="15"/>
        <v/>
      </c>
      <c r="T110" s="65" t="str">
        <f t="shared" si="19"/>
        <v/>
      </c>
      <c r="U110" s="10" t="str">
        <f>IF(J110="","",J110*IF($E$5&lt;=0.5,产品成本表!$E$3,IF($E$5&lt;=1,产品成本表!$E$4,IF($E$5&lt;=3,产品成本表!$E$5,IF($E$5&lt;=5,产品成本表!$E$6,产品成本表!$E$7)))))</f>
        <v/>
      </c>
    </row>
    <row r="111" spans="1:21">
      <c r="A111" s="49" t="str">
        <f t="shared" si="20"/>
        <v/>
      </c>
      <c r="B111" s="50" t="str">
        <f>IF($E$5*$E$7&lt;99,"",99)</f>
        <v/>
      </c>
      <c r="C111" s="51" t="str">
        <f>正常测算!C111</f>
        <v/>
      </c>
      <c r="D111" s="51" t="str">
        <f>正常测算!D111</f>
        <v/>
      </c>
      <c r="E111" s="51" t="str">
        <f t="shared" si="21"/>
        <v/>
      </c>
      <c r="F111" s="52" t="str">
        <f t="shared" si="22"/>
        <v/>
      </c>
      <c r="G111" s="56" t="str">
        <f>IF(C111="","",IF(SUM(C112:C$134)=0,C111-C$7+C$8+G$10+H111+R111,C111+H111+R111))</f>
        <v/>
      </c>
      <c r="H111" s="56">
        <f>正常测算!H111</f>
        <v>0</v>
      </c>
      <c r="I111" s="9" t="str">
        <f t="shared" si="16"/>
        <v/>
      </c>
      <c r="J111" s="9" t="str">
        <f t="shared" si="17"/>
        <v/>
      </c>
      <c r="K111" s="9" t="str">
        <f>IF(M111="","",IF(B112="",SUM($J$13:$J111),SUM($J$13:$J111,$J112*(M111-A111)/(A112-A111))))</f>
        <v/>
      </c>
      <c r="L111" s="9" t="str">
        <f>IF(M111="","",IF(B112="",SUM($D$13:$D111,$R$12:$R111,$G$5:$G$10,$C$9,-$C$10),SUM($D$13:$D111,$R$12:$R111,$G$5:$G$10,$D112*(M111-A111)/(A112-A111),$C$9,-$C$10)))</f>
        <v/>
      </c>
      <c r="M111" s="15" t="str">
        <f t="shared" si="18"/>
        <v/>
      </c>
      <c r="N111" s="30" t="str">
        <f t="shared" si="14"/>
        <v/>
      </c>
      <c r="O111" s="53" t="str">
        <f t="shared" si="23"/>
        <v/>
      </c>
      <c r="P111" s="55" t="str">
        <f t="shared" si="24"/>
        <v/>
      </c>
      <c r="R111" s="56">
        <f>IF($H$1="人民币电汇",0,IF(OR($H$1="原币划转",$H$1="美元结汇"),产品成本表!G124,-产品成本表!E124))+正常测算!R111</f>
        <v>0</v>
      </c>
      <c r="S111" s="64" t="str">
        <f t="shared" si="15"/>
        <v/>
      </c>
      <c r="T111" s="65" t="str">
        <f t="shared" si="19"/>
        <v/>
      </c>
      <c r="U111" s="10" t="str">
        <f>IF(J111="","",J111*IF($E$5&lt;=0.5,产品成本表!$E$3,IF($E$5&lt;=1,产品成本表!$E$4,IF($E$5&lt;=3,产品成本表!$E$5,IF($E$5&lt;=5,产品成本表!$E$6,产品成本表!$E$7)))))</f>
        <v/>
      </c>
    </row>
    <row r="112" spans="1:21">
      <c r="A112" s="49" t="str">
        <f t="shared" si="20"/>
        <v/>
      </c>
      <c r="B112" s="50" t="str">
        <f>IF($E$5*$E$7&lt;100,"",100)</f>
        <v/>
      </c>
      <c r="C112" s="51" t="str">
        <f>正常测算!C112</f>
        <v/>
      </c>
      <c r="D112" s="51" t="str">
        <f>正常测算!D112</f>
        <v/>
      </c>
      <c r="E112" s="51" t="str">
        <f t="shared" si="21"/>
        <v/>
      </c>
      <c r="F112" s="52" t="str">
        <f t="shared" si="22"/>
        <v/>
      </c>
      <c r="G112" s="56" t="str">
        <f>IF(C112="","",IF(SUM(C113:C$134)=0,C112-C$7+C$8+G$10+H112+R112,C112+H112+R112))</f>
        <v/>
      </c>
      <c r="H112" s="56">
        <f>正常测算!H112</f>
        <v>0</v>
      </c>
      <c r="I112" s="9" t="str">
        <f t="shared" si="16"/>
        <v/>
      </c>
      <c r="J112" s="9" t="str">
        <f t="shared" si="17"/>
        <v/>
      </c>
      <c r="K112" s="9" t="str">
        <f>IF(M112="","",IF(B113="",SUM($J$13:$J112),SUM($J$13:$J112,$J113*(M112-A112)/(A113-A112))))</f>
        <v/>
      </c>
      <c r="L112" s="9" t="str">
        <f>IF(M112="","",IF(B113="",SUM($D$13:$D112,$R$12:$R112,$G$5:$G$10,$C$9,-$C$10),SUM($D$13:$D112,$R$12:$R112,$G$5:$G$10,$D113*(M112-A112)/(A113-A112),$C$9,-$C$10)))</f>
        <v/>
      </c>
      <c r="M112" s="15" t="str">
        <f t="shared" si="18"/>
        <v/>
      </c>
      <c r="N112" s="30" t="str">
        <f t="shared" si="14"/>
        <v/>
      </c>
      <c r="O112" s="53" t="str">
        <f t="shared" si="23"/>
        <v/>
      </c>
      <c r="P112" s="55" t="str">
        <f t="shared" si="24"/>
        <v/>
      </c>
      <c r="R112" s="56">
        <f>IF($H$1="人民币电汇",0,IF(OR($H$1="原币划转",$H$1="美元结汇"),产品成本表!G125,-产品成本表!E125))+正常测算!R112</f>
        <v>0</v>
      </c>
      <c r="S112" s="64" t="str">
        <f t="shared" si="15"/>
        <v/>
      </c>
      <c r="T112" s="65" t="str">
        <f t="shared" si="19"/>
        <v/>
      </c>
      <c r="U112" s="10" t="str">
        <f>IF(J112="","",J112*IF($E$5&lt;=0.5,产品成本表!$E$3,IF($E$5&lt;=1,产品成本表!$E$4,IF($E$5&lt;=3,产品成本表!$E$5,IF($E$5&lt;=5,产品成本表!$E$6,产品成本表!$E$7)))))</f>
        <v/>
      </c>
    </row>
    <row r="113" spans="1:21">
      <c r="A113" s="49" t="str">
        <f t="shared" si="20"/>
        <v/>
      </c>
      <c r="B113" s="50" t="str">
        <f>IF($E$5*$E$7&lt;101,"",101)</f>
        <v/>
      </c>
      <c r="C113" s="51" t="str">
        <f>正常测算!C113</f>
        <v/>
      </c>
      <c r="D113" s="51" t="str">
        <f>正常测算!D113</f>
        <v/>
      </c>
      <c r="E113" s="51" t="str">
        <f t="shared" si="21"/>
        <v/>
      </c>
      <c r="F113" s="52" t="str">
        <f t="shared" si="22"/>
        <v/>
      </c>
      <c r="G113" s="56" t="str">
        <f>IF(C113="","",IF(SUM(C114:C$134)=0,C113-C$7+C$8+G$10+H113+R113,C113+H113+R113))</f>
        <v/>
      </c>
      <c r="H113" s="56">
        <f>正常测算!H113</f>
        <v>0</v>
      </c>
      <c r="I113" s="9" t="str">
        <f t="shared" si="16"/>
        <v/>
      </c>
      <c r="J113" s="9" t="str">
        <f t="shared" si="17"/>
        <v/>
      </c>
      <c r="K113" s="9" t="str">
        <f>IF(M113="","",IF(B114="",SUM($J$13:$J113),SUM($J$13:$J113,$J114*(M113-A113)/(A114-A113))))</f>
        <v/>
      </c>
      <c r="L113" s="9" t="str">
        <f>IF(M113="","",IF(B114="",SUM($D$13:$D113,$R$12:$R113,$G$5:$G$10,$C$9,-$C$10),SUM($D$13:$D113,$R$12:$R113,$G$5:$G$10,$D114*(M113-A113)/(A114-A113),$C$9,-$C$10)))</f>
        <v/>
      </c>
      <c r="M113" s="15" t="str">
        <f t="shared" si="18"/>
        <v/>
      </c>
      <c r="N113" s="30" t="str">
        <f t="shared" si="14"/>
        <v/>
      </c>
      <c r="O113" s="53" t="str">
        <f t="shared" si="23"/>
        <v/>
      </c>
      <c r="P113" s="55" t="str">
        <f t="shared" si="24"/>
        <v/>
      </c>
      <c r="R113" s="56">
        <f>IF($H$1="人民币电汇",0,IF(OR($H$1="原币划转",$H$1="美元结汇"),产品成本表!G126,-产品成本表!E126))+正常测算!R113</f>
        <v>0</v>
      </c>
      <c r="S113" s="64" t="str">
        <f t="shared" si="15"/>
        <v/>
      </c>
      <c r="T113" s="65" t="str">
        <f t="shared" si="19"/>
        <v/>
      </c>
      <c r="U113" s="10" t="str">
        <f>IF(J113="","",J113*IF($E$5&lt;=0.5,产品成本表!$E$3,IF($E$5&lt;=1,产品成本表!$E$4,IF($E$5&lt;=3,产品成本表!$E$5,IF($E$5&lt;=5,产品成本表!$E$6,产品成本表!$E$7)))))</f>
        <v/>
      </c>
    </row>
    <row r="114" spans="1:21">
      <c r="A114" s="49" t="str">
        <f t="shared" si="20"/>
        <v/>
      </c>
      <c r="B114" s="50" t="str">
        <f>IF($E$5*$E$7&lt;102,"",102)</f>
        <v/>
      </c>
      <c r="C114" s="51" t="str">
        <f>正常测算!C114</f>
        <v/>
      </c>
      <c r="D114" s="51" t="str">
        <f>正常测算!D114</f>
        <v/>
      </c>
      <c r="E114" s="51" t="str">
        <f t="shared" si="21"/>
        <v/>
      </c>
      <c r="F114" s="52" t="str">
        <f t="shared" si="22"/>
        <v/>
      </c>
      <c r="G114" s="56" t="str">
        <f>IF(C114="","",IF(SUM(C115:C$134)=0,C114-C$7+C$8+G$10+H114+R114,C114+H114+R114))</f>
        <v/>
      </c>
      <c r="H114" s="56">
        <f>正常测算!H114</f>
        <v>0</v>
      </c>
      <c r="I114" s="9" t="str">
        <f t="shared" si="16"/>
        <v/>
      </c>
      <c r="J114" s="9" t="str">
        <f t="shared" si="17"/>
        <v/>
      </c>
      <c r="K114" s="9" t="str">
        <f>IF(M114="","",IF(B115="",SUM($J$13:$J114),SUM($J$13:$J114,$J115*(M114-A114)/(A115-A114))))</f>
        <v/>
      </c>
      <c r="L114" s="9" t="str">
        <f>IF(M114="","",IF(B115="",SUM($D$13:$D114,$R$12:$R114,$G$5:$G$10,$C$9,-$C$10),SUM($D$13:$D114,$R$12:$R114,$G$5:$G$10,$D115*(M114-A114)/(A115-A114),$C$9,-$C$10)))</f>
        <v/>
      </c>
      <c r="M114" s="15" t="str">
        <f t="shared" si="18"/>
        <v/>
      </c>
      <c r="N114" s="30" t="str">
        <f t="shared" si="14"/>
        <v/>
      </c>
      <c r="O114" s="53" t="str">
        <f t="shared" si="23"/>
        <v/>
      </c>
      <c r="P114" s="55" t="str">
        <f t="shared" si="24"/>
        <v/>
      </c>
      <c r="R114" s="56">
        <f>IF($H$1="人民币电汇",0,IF(OR($H$1="原币划转",$H$1="美元结汇"),产品成本表!G127,-产品成本表!E127))+正常测算!R114</f>
        <v>0</v>
      </c>
      <c r="S114" s="64" t="str">
        <f t="shared" si="15"/>
        <v/>
      </c>
      <c r="T114" s="65" t="str">
        <f t="shared" si="19"/>
        <v/>
      </c>
      <c r="U114" s="10" t="str">
        <f>IF(J114="","",J114*IF($E$5&lt;=0.5,产品成本表!$E$3,IF($E$5&lt;=1,产品成本表!$E$4,IF($E$5&lt;=3,产品成本表!$E$5,IF($E$5&lt;=5,产品成本表!$E$6,产品成本表!$E$7)))))</f>
        <v/>
      </c>
    </row>
    <row r="115" spans="1:21">
      <c r="A115" s="49" t="str">
        <f t="shared" si="20"/>
        <v/>
      </c>
      <c r="B115" s="50" t="str">
        <f>IF($E$5*$E$7&lt;103,"",103)</f>
        <v/>
      </c>
      <c r="C115" s="51" t="str">
        <f>正常测算!C115</f>
        <v/>
      </c>
      <c r="D115" s="51" t="str">
        <f>正常测算!D115</f>
        <v/>
      </c>
      <c r="E115" s="51" t="str">
        <f t="shared" si="21"/>
        <v/>
      </c>
      <c r="F115" s="52" t="str">
        <f t="shared" si="22"/>
        <v/>
      </c>
      <c r="G115" s="56" t="str">
        <f>IF(C115="","",IF(SUM(C116:C$134)=0,C115-C$7+C$8+G$10+H115+R115,C115+H115+R115))</f>
        <v/>
      </c>
      <c r="H115" s="56">
        <f>正常测算!H115</f>
        <v>0</v>
      </c>
      <c r="I115" s="9" t="str">
        <f t="shared" si="16"/>
        <v/>
      </c>
      <c r="J115" s="9" t="str">
        <f t="shared" si="17"/>
        <v/>
      </c>
      <c r="K115" s="9" t="str">
        <f>IF(M115="","",IF(B116="",SUM($J$13:$J115),SUM($J$13:$J115,$J116*(M115-A115)/(A116-A115))))</f>
        <v/>
      </c>
      <c r="L115" s="9" t="str">
        <f>IF(M115="","",IF(B116="",SUM($D$13:$D115,$R$12:$R115,$G$5:$G$10,$C$9,-$C$10),SUM($D$13:$D115,$R$12:$R115,$G$5:$G$10,$D116*(M115-A115)/(A116-A115),$C$9,-$C$10)))</f>
        <v/>
      </c>
      <c r="M115" s="15" t="str">
        <f t="shared" si="18"/>
        <v/>
      </c>
      <c r="N115" s="30" t="str">
        <f t="shared" si="14"/>
        <v/>
      </c>
      <c r="O115" s="53" t="str">
        <f t="shared" si="23"/>
        <v/>
      </c>
      <c r="P115" s="55" t="str">
        <f t="shared" si="24"/>
        <v/>
      </c>
      <c r="R115" s="56">
        <f>IF($H$1="人民币电汇",0,IF(OR($H$1="原币划转",$H$1="美元结汇"),产品成本表!G128,-产品成本表!E128))+正常测算!R115</f>
        <v>0</v>
      </c>
      <c r="S115" s="64" t="str">
        <f t="shared" si="15"/>
        <v/>
      </c>
      <c r="T115" s="65" t="str">
        <f t="shared" si="19"/>
        <v/>
      </c>
      <c r="U115" s="10" t="str">
        <f>IF(J115="","",J115*IF($E$5&lt;=0.5,产品成本表!$E$3,IF($E$5&lt;=1,产品成本表!$E$4,IF($E$5&lt;=3,产品成本表!$E$5,IF($E$5&lt;=5,产品成本表!$E$6,产品成本表!$E$7)))))</f>
        <v/>
      </c>
    </row>
    <row r="116" spans="1:21">
      <c r="A116" s="49" t="str">
        <f t="shared" si="20"/>
        <v/>
      </c>
      <c r="B116" s="50" t="str">
        <f>IF($E$5*$E$7&lt;104,"",104)</f>
        <v/>
      </c>
      <c r="C116" s="51" t="str">
        <f>正常测算!C116</f>
        <v/>
      </c>
      <c r="D116" s="51" t="str">
        <f>正常测算!D116</f>
        <v/>
      </c>
      <c r="E116" s="51" t="str">
        <f t="shared" si="21"/>
        <v/>
      </c>
      <c r="F116" s="52" t="str">
        <f t="shared" si="22"/>
        <v/>
      </c>
      <c r="G116" s="56" t="str">
        <f>IF(C116="","",IF(SUM(C117:C$134)=0,C116-C$7+C$8+G$10+H116+R116,C116+H116+R116))</f>
        <v/>
      </c>
      <c r="H116" s="56">
        <f>正常测算!H116</f>
        <v>0</v>
      </c>
      <c r="I116" s="9" t="str">
        <f t="shared" si="16"/>
        <v/>
      </c>
      <c r="J116" s="9" t="str">
        <f t="shared" si="17"/>
        <v/>
      </c>
      <c r="K116" s="9" t="str">
        <f>IF(M116="","",IF(B117="",SUM($J$13:$J116),SUM($J$13:$J116,$J117*(M116-A116)/(A117-A116))))</f>
        <v/>
      </c>
      <c r="L116" s="9" t="str">
        <f>IF(M116="","",IF(B117="",SUM($D$13:$D116,$R$12:$R116,$G$5:$G$10,$C$9,-$C$10),SUM($D$13:$D116,$R$12:$R116,$G$5:$G$10,$D117*(M116-A116)/(A117-A116),$C$9,-$C$10)))</f>
        <v/>
      </c>
      <c r="M116" s="15" t="str">
        <f t="shared" si="18"/>
        <v/>
      </c>
      <c r="N116" s="30" t="str">
        <f t="shared" si="14"/>
        <v/>
      </c>
      <c r="O116" s="53" t="str">
        <f t="shared" si="23"/>
        <v/>
      </c>
      <c r="P116" s="55" t="str">
        <f t="shared" si="24"/>
        <v/>
      </c>
      <c r="R116" s="56">
        <f>IF($H$1="人民币电汇",0,IF(OR($H$1="原币划转",$H$1="美元结汇"),产品成本表!G129,-产品成本表!E129))+正常测算!R116</f>
        <v>0</v>
      </c>
      <c r="S116" s="64" t="str">
        <f t="shared" si="15"/>
        <v/>
      </c>
      <c r="T116" s="65" t="str">
        <f t="shared" si="19"/>
        <v/>
      </c>
      <c r="U116" s="10" t="str">
        <f>IF(J116="","",J116*IF($E$5&lt;=0.5,产品成本表!$E$3,IF($E$5&lt;=1,产品成本表!$E$4,IF($E$5&lt;=3,产品成本表!$E$5,IF($E$5&lt;=5,产品成本表!$E$6,产品成本表!$E$7)))))</f>
        <v/>
      </c>
    </row>
    <row r="117" spans="1:21">
      <c r="A117" s="49" t="str">
        <f t="shared" si="20"/>
        <v/>
      </c>
      <c r="B117" s="50" t="str">
        <f>IF($E$5*$E$7&lt;105,"",105)</f>
        <v/>
      </c>
      <c r="C117" s="51" t="str">
        <f>正常测算!C117</f>
        <v/>
      </c>
      <c r="D117" s="51" t="str">
        <f>正常测算!D117</f>
        <v/>
      </c>
      <c r="E117" s="51" t="str">
        <f t="shared" si="21"/>
        <v/>
      </c>
      <c r="F117" s="52" t="str">
        <f t="shared" si="22"/>
        <v/>
      </c>
      <c r="G117" s="56" t="str">
        <f>IF(C117="","",IF(SUM(C118:C$134)=0,C117-C$7+C$8+G$10+H117+R117,C117+H117+R117))</f>
        <v/>
      </c>
      <c r="H117" s="56">
        <f>正常测算!H117</f>
        <v>0</v>
      </c>
      <c r="I117" s="9" t="str">
        <f t="shared" si="16"/>
        <v/>
      </c>
      <c r="J117" s="9" t="str">
        <f t="shared" si="17"/>
        <v/>
      </c>
      <c r="K117" s="9" t="str">
        <f>IF(M117="","",IF(B118="",SUM($J$13:$J117),SUM($J$13:$J117,$J118*(M117-A117)/(A118-A117))))</f>
        <v/>
      </c>
      <c r="L117" s="9" t="str">
        <f>IF(M117="","",IF(B118="",SUM($D$13:$D117,$R$12:$R117,$G$5:$G$10,$C$9,-$C$10),SUM($D$13:$D117,$R$12:$R117,$G$5:$G$10,$D118*(M117-A117)/(A118-A117),$C$9,-$C$10)))</f>
        <v/>
      </c>
      <c r="M117" s="15" t="str">
        <f t="shared" si="18"/>
        <v/>
      </c>
      <c r="N117" s="30" t="str">
        <f t="shared" si="14"/>
        <v/>
      </c>
      <c r="O117" s="53" t="str">
        <f t="shared" si="23"/>
        <v/>
      </c>
      <c r="P117" s="55" t="str">
        <f t="shared" si="24"/>
        <v/>
      </c>
      <c r="R117" s="56">
        <f>IF($H$1="人民币电汇",0,IF(OR($H$1="原币划转",$H$1="美元结汇"),产品成本表!G130,-产品成本表!E130))+正常测算!R117</f>
        <v>0</v>
      </c>
      <c r="S117" s="64" t="str">
        <f t="shared" si="15"/>
        <v/>
      </c>
      <c r="T117" s="65" t="str">
        <f t="shared" si="19"/>
        <v/>
      </c>
      <c r="U117" s="10" t="str">
        <f>IF(J117="","",J117*IF($E$5&lt;=0.5,产品成本表!$E$3,IF($E$5&lt;=1,产品成本表!$E$4,IF($E$5&lt;=3,产品成本表!$E$5,IF($E$5&lt;=5,产品成本表!$E$6,产品成本表!$E$7)))))</f>
        <v/>
      </c>
    </row>
    <row r="118" spans="1:21">
      <c r="A118" s="49" t="str">
        <f t="shared" si="20"/>
        <v/>
      </c>
      <c r="B118" s="50" t="str">
        <f>IF($E$5*$E$7&lt;106,"",106)</f>
        <v/>
      </c>
      <c r="C118" s="51" t="str">
        <f>正常测算!C118</f>
        <v/>
      </c>
      <c r="D118" s="51" t="str">
        <f>正常测算!D118</f>
        <v/>
      </c>
      <c r="E118" s="51" t="str">
        <f t="shared" si="21"/>
        <v/>
      </c>
      <c r="F118" s="52" t="str">
        <f t="shared" si="22"/>
        <v/>
      </c>
      <c r="G118" s="56" t="str">
        <f>IF(C118="","",IF(SUM(C119:C$134)=0,C118-C$7+C$8+G$10+H118+R118,C118+H118+R118))</f>
        <v/>
      </c>
      <c r="H118" s="56">
        <f>正常测算!H118</f>
        <v>0</v>
      </c>
      <c r="I118" s="9" t="str">
        <f t="shared" si="16"/>
        <v/>
      </c>
      <c r="J118" s="9" t="str">
        <f t="shared" si="17"/>
        <v/>
      </c>
      <c r="K118" s="9" t="str">
        <f>IF(M118="","",IF(B119="",SUM($J$13:$J118),SUM($J$13:$J118,$J119*(M118-A118)/(A119-A118))))</f>
        <v/>
      </c>
      <c r="L118" s="9" t="str">
        <f>IF(M118="","",IF(B119="",SUM($D$13:$D118,$R$12:$R118,$G$5:$G$10,$C$9,-$C$10),SUM($D$13:$D118,$R$12:$R118,$G$5:$G$10,$D119*(M118-A118)/(A119-A118),$C$9,-$C$10)))</f>
        <v/>
      </c>
      <c r="M118" s="15" t="str">
        <f t="shared" si="18"/>
        <v/>
      </c>
      <c r="N118" s="30" t="str">
        <f t="shared" si="14"/>
        <v/>
      </c>
      <c r="O118" s="53" t="str">
        <f t="shared" si="23"/>
        <v/>
      </c>
      <c r="P118" s="55" t="str">
        <f t="shared" si="24"/>
        <v/>
      </c>
      <c r="R118" s="56">
        <f>IF($H$1="人民币电汇",0,IF(OR($H$1="原币划转",$H$1="美元结汇"),产品成本表!G131,-产品成本表!E131))+正常测算!R118</f>
        <v>0</v>
      </c>
      <c r="S118" s="64" t="str">
        <f t="shared" si="15"/>
        <v/>
      </c>
      <c r="T118" s="65" t="str">
        <f t="shared" si="19"/>
        <v/>
      </c>
      <c r="U118" s="10" t="str">
        <f>IF(J118="","",J118*IF($E$5&lt;=0.5,产品成本表!$E$3,IF($E$5&lt;=1,产品成本表!$E$4,IF($E$5&lt;=3,产品成本表!$E$5,IF($E$5&lt;=5,产品成本表!$E$6,产品成本表!$E$7)))))</f>
        <v/>
      </c>
    </row>
    <row r="119" spans="1:21">
      <c r="A119" s="49" t="str">
        <f t="shared" si="20"/>
        <v/>
      </c>
      <c r="B119" s="50" t="str">
        <f>IF($E$5*$E$7&lt;107,"",107)</f>
        <v/>
      </c>
      <c r="C119" s="51" t="str">
        <f>正常测算!C119</f>
        <v/>
      </c>
      <c r="D119" s="51" t="str">
        <f>正常测算!D119</f>
        <v/>
      </c>
      <c r="E119" s="51" t="str">
        <f t="shared" si="21"/>
        <v/>
      </c>
      <c r="F119" s="52" t="str">
        <f t="shared" si="22"/>
        <v/>
      </c>
      <c r="G119" s="56" t="str">
        <f>IF(C119="","",IF(SUM(C120:C$134)=0,C119-C$7+C$8+G$10+H119+R119,C119+H119+R119))</f>
        <v/>
      </c>
      <c r="H119" s="56">
        <f>正常测算!H119</f>
        <v>0</v>
      </c>
      <c r="I119" s="9" t="str">
        <f t="shared" si="16"/>
        <v/>
      </c>
      <c r="J119" s="9" t="str">
        <f t="shared" si="17"/>
        <v/>
      </c>
      <c r="K119" s="9" t="str">
        <f>IF(M119="","",IF(B120="",SUM($J$13:$J119),SUM($J$13:$J119,$J120*(M119-A119)/(A120-A119))))</f>
        <v/>
      </c>
      <c r="L119" s="9" t="str">
        <f>IF(M119="","",IF(B120="",SUM($D$13:$D119,$R$12:$R119,$G$5:$G$10,$C$9,-$C$10),SUM($D$13:$D119,$R$12:$R119,$G$5:$G$10,$D120*(M119-A119)/(A120-A119),$C$9,-$C$10)))</f>
        <v/>
      </c>
      <c r="M119" s="15" t="str">
        <f t="shared" si="18"/>
        <v/>
      </c>
      <c r="N119" s="30" t="str">
        <f t="shared" si="14"/>
        <v/>
      </c>
      <c r="O119" s="53" t="str">
        <f t="shared" si="23"/>
        <v/>
      </c>
      <c r="P119" s="55" t="str">
        <f t="shared" si="24"/>
        <v/>
      </c>
      <c r="R119" s="56">
        <f>IF($H$1="人民币电汇",0,IF(OR($H$1="原币划转",$H$1="美元结汇"),产品成本表!G132,-产品成本表!E132))+正常测算!R119</f>
        <v>0</v>
      </c>
      <c r="S119" s="64" t="str">
        <f t="shared" si="15"/>
        <v/>
      </c>
      <c r="T119" s="65" t="str">
        <f t="shared" si="19"/>
        <v/>
      </c>
      <c r="U119" s="10" t="str">
        <f>IF(J119="","",J119*IF($E$5&lt;=0.5,产品成本表!$E$3,IF($E$5&lt;=1,产品成本表!$E$4,IF($E$5&lt;=3,产品成本表!$E$5,IF($E$5&lt;=5,产品成本表!$E$6,产品成本表!$E$7)))))</f>
        <v/>
      </c>
    </row>
    <row r="120" spans="1:21">
      <c r="A120" s="49" t="str">
        <f t="shared" si="20"/>
        <v/>
      </c>
      <c r="B120" s="50" t="str">
        <f>IF($E$5*$E$7&lt;108,"",108)</f>
        <v/>
      </c>
      <c r="C120" s="51" t="str">
        <f>正常测算!C120</f>
        <v/>
      </c>
      <c r="D120" s="51" t="str">
        <f>正常测算!D120</f>
        <v/>
      </c>
      <c r="E120" s="51" t="str">
        <f t="shared" si="21"/>
        <v/>
      </c>
      <c r="F120" s="52" t="str">
        <f t="shared" si="22"/>
        <v/>
      </c>
      <c r="G120" s="56" t="str">
        <f>IF(C120="","",IF(SUM(C121:C$134)=0,C120-C$7+C$8+G$10+H120+R120,C120+H120+R120))</f>
        <v/>
      </c>
      <c r="H120" s="56">
        <f>正常测算!H120</f>
        <v>0</v>
      </c>
      <c r="I120" s="9" t="str">
        <f t="shared" si="16"/>
        <v/>
      </c>
      <c r="J120" s="9" t="str">
        <f t="shared" si="17"/>
        <v/>
      </c>
      <c r="K120" s="9" t="str">
        <f>IF(M120="","",IF(B121="",SUM($J$13:$J120),SUM($J$13:$J120,$J121*(M120-A120)/(A121-A120))))</f>
        <v/>
      </c>
      <c r="L120" s="9" t="str">
        <f>IF(M120="","",IF(B121="",SUM($D$13:$D120,$R$12:$R120,$G$5:$G$10,$C$9,-$C$10),SUM($D$13:$D120,$R$12:$R120,$G$5:$G$10,$D121*(M120-A120)/(A121-A120),$C$9,-$C$10)))</f>
        <v/>
      </c>
      <c r="M120" s="15" t="str">
        <f t="shared" si="18"/>
        <v/>
      </c>
      <c r="N120" s="30" t="str">
        <f t="shared" si="14"/>
        <v/>
      </c>
      <c r="O120" s="53" t="str">
        <f t="shared" si="23"/>
        <v/>
      </c>
      <c r="P120" s="55" t="str">
        <f t="shared" si="24"/>
        <v/>
      </c>
      <c r="R120" s="56">
        <f>IF($H$1="人民币电汇",0,IF(OR($H$1="原币划转",$H$1="美元结汇"),产品成本表!G133,-产品成本表!E133))+正常测算!R120</f>
        <v>0</v>
      </c>
      <c r="S120" s="64" t="str">
        <f t="shared" si="15"/>
        <v/>
      </c>
      <c r="T120" s="65" t="str">
        <f t="shared" si="19"/>
        <v/>
      </c>
      <c r="U120" s="10" t="str">
        <f>IF(J120="","",J120*IF($E$5&lt;=0.5,产品成本表!$E$3,IF($E$5&lt;=1,产品成本表!$E$4,IF($E$5&lt;=3,产品成本表!$E$5,IF($E$5&lt;=5,产品成本表!$E$6,产品成本表!$E$7)))))</f>
        <v/>
      </c>
    </row>
    <row r="121" spans="1:21">
      <c r="A121" s="49" t="str">
        <f t="shared" si="20"/>
        <v/>
      </c>
      <c r="B121" s="50" t="str">
        <f>IF($E$5*$E$7&lt;109,"",109)</f>
        <v/>
      </c>
      <c r="C121" s="51" t="str">
        <f>正常测算!C121</f>
        <v/>
      </c>
      <c r="D121" s="51" t="str">
        <f>正常测算!D121</f>
        <v/>
      </c>
      <c r="E121" s="51" t="str">
        <f t="shared" si="21"/>
        <v/>
      </c>
      <c r="F121" s="52" t="str">
        <f t="shared" si="22"/>
        <v/>
      </c>
      <c r="G121" s="56" t="str">
        <f>IF(C121="","",IF(SUM(C122:C$134)=0,C121-C$7+C$8+G$10+H121+R121,C121+H121+R121))</f>
        <v/>
      </c>
      <c r="H121" s="56">
        <f>正常测算!H121</f>
        <v>0</v>
      </c>
      <c r="I121" s="9" t="str">
        <f t="shared" si="16"/>
        <v/>
      </c>
      <c r="J121" s="9" t="str">
        <f t="shared" si="17"/>
        <v/>
      </c>
      <c r="K121" s="9" t="str">
        <f>IF(M121="","",IF(B122="",SUM($J$13:$J121),SUM($J$13:$J121,$J122*(M121-A121)/(A122-A121))))</f>
        <v/>
      </c>
      <c r="L121" s="9" t="str">
        <f>IF(M121="","",IF(B122="",SUM($D$13:$D121,$R$12:$R121,$G$5:$G$10,$C$9,-$C$10),SUM($D$13:$D121,$R$12:$R121,$G$5:$G$10,$D122*(M121-A121)/(A122-A121),$C$9,-$C$10)))</f>
        <v/>
      </c>
      <c r="M121" s="15" t="str">
        <f t="shared" si="18"/>
        <v/>
      </c>
      <c r="N121" s="30" t="str">
        <f t="shared" si="14"/>
        <v/>
      </c>
      <c r="O121" s="53" t="str">
        <f t="shared" si="23"/>
        <v/>
      </c>
      <c r="P121" s="55" t="str">
        <f t="shared" si="24"/>
        <v/>
      </c>
      <c r="R121" s="56">
        <f>IF($H$1="人民币电汇",0,IF(OR($H$1="原币划转",$H$1="美元结汇"),产品成本表!G134,-产品成本表!E134))+正常测算!R121</f>
        <v>0</v>
      </c>
      <c r="S121" s="64" t="str">
        <f t="shared" si="15"/>
        <v/>
      </c>
      <c r="T121" s="65" t="str">
        <f t="shared" si="19"/>
        <v/>
      </c>
      <c r="U121" s="10" t="str">
        <f>IF(J121="","",J121*IF($E$5&lt;=0.5,产品成本表!$E$3,IF($E$5&lt;=1,产品成本表!$E$4,IF($E$5&lt;=3,产品成本表!$E$5,IF($E$5&lt;=5,产品成本表!$E$6,产品成本表!$E$7)))))</f>
        <v/>
      </c>
    </row>
    <row r="122" spans="1:21">
      <c r="A122" s="49" t="str">
        <f t="shared" si="20"/>
        <v/>
      </c>
      <c r="B122" s="50" t="str">
        <f>IF($E$5*$E$7&lt;110,"",110)</f>
        <v/>
      </c>
      <c r="C122" s="51" t="str">
        <f>正常测算!C122</f>
        <v/>
      </c>
      <c r="D122" s="51" t="str">
        <f>正常测算!D122</f>
        <v/>
      </c>
      <c r="E122" s="51" t="str">
        <f t="shared" si="21"/>
        <v/>
      </c>
      <c r="F122" s="52" t="str">
        <f t="shared" si="22"/>
        <v/>
      </c>
      <c r="G122" s="56" t="str">
        <f>IF(C122="","",IF(SUM(C123:C$134)=0,C122-C$7+C$8+G$10+H122+R122,C122+H122+R122))</f>
        <v/>
      </c>
      <c r="H122" s="56">
        <f>正常测算!H122</f>
        <v>0</v>
      </c>
      <c r="I122" s="9" t="str">
        <f t="shared" si="16"/>
        <v/>
      </c>
      <c r="J122" s="9" t="str">
        <f t="shared" si="17"/>
        <v/>
      </c>
      <c r="K122" s="9" t="str">
        <f>IF(M122="","",IF(B123="",SUM($J$13:$J122),SUM($J$13:$J122,$J123*(M122-A122)/(A123-A122))))</f>
        <v/>
      </c>
      <c r="L122" s="9" t="str">
        <f>IF(M122="","",IF(B123="",SUM($D$13:$D122,$R$12:$R122,$G$5:$G$10,$C$9,-$C$10),SUM($D$13:$D122,$R$12:$R122,$G$5:$G$10,$D123*(M122-A122)/(A123-A122),$C$9,-$C$10)))</f>
        <v/>
      </c>
      <c r="M122" s="15" t="str">
        <f t="shared" si="18"/>
        <v/>
      </c>
      <c r="N122" s="30" t="str">
        <f t="shared" si="14"/>
        <v/>
      </c>
      <c r="O122" s="53" t="str">
        <f t="shared" si="23"/>
        <v/>
      </c>
      <c r="P122" s="55" t="str">
        <f t="shared" si="24"/>
        <v/>
      </c>
      <c r="R122" s="56">
        <f>IF($H$1="人民币电汇",0,IF(OR($H$1="原币划转",$H$1="美元结汇"),产品成本表!G135,-产品成本表!E135))+正常测算!R122</f>
        <v>0</v>
      </c>
      <c r="S122" s="64" t="str">
        <f t="shared" si="15"/>
        <v/>
      </c>
      <c r="T122" s="65" t="str">
        <f t="shared" si="19"/>
        <v/>
      </c>
      <c r="U122" s="10" t="str">
        <f>IF(J122="","",J122*IF($E$5&lt;=0.5,产品成本表!$E$3,IF($E$5&lt;=1,产品成本表!$E$4,IF($E$5&lt;=3,产品成本表!$E$5,IF($E$5&lt;=5,产品成本表!$E$6,产品成本表!$E$7)))))</f>
        <v/>
      </c>
    </row>
    <row r="123" spans="1:21">
      <c r="A123" s="49" t="str">
        <f t="shared" si="20"/>
        <v/>
      </c>
      <c r="B123" s="50" t="str">
        <f>IF($E$5*$E$7&lt;111,"",111)</f>
        <v/>
      </c>
      <c r="C123" s="51" t="str">
        <f>正常测算!C123</f>
        <v/>
      </c>
      <c r="D123" s="51" t="str">
        <f>正常测算!D123</f>
        <v/>
      </c>
      <c r="E123" s="51" t="str">
        <f t="shared" si="21"/>
        <v/>
      </c>
      <c r="F123" s="52" t="str">
        <f t="shared" si="22"/>
        <v/>
      </c>
      <c r="G123" s="56" t="str">
        <f>IF(C123="","",IF(SUM(C124:C$134)=0,C123-C$7+C$8+G$10+H123+R123,C123+H123+R123))</f>
        <v/>
      </c>
      <c r="H123" s="56">
        <f>正常测算!H123</f>
        <v>0</v>
      </c>
      <c r="I123" s="9" t="str">
        <f t="shared" si="16"/>
        <v/>
      </c>
      <c r="J123" s="9" t="str">
        <f t="shared" si="17"/>
        <v/>
      </c>
      <c r="K123" s="9" t="str">
        <f>IF(M123="","",IF(B124="",SUM($J$13:$J123),SUM($J$13:$J123,$J124*(M123-A123)/(A124-A123))))</f>
        <v/>
      </c>
      <c r="L123" s="9" t="str">
        <f>IF(M123="","",IF(B124="",SUM($D$13:$D123,$R$12:$R123,$G$5:$G$10,$C$9,-$C$10),SUM($D$13:$D123,$R$12:$R123,$G$5:$G$10,$D124*(M123-A123)/(A124-A123),$C$9,-$C$10)))</f>
        <v/>
      </c>
      <c r="M123" s="15" t="str">
        <f t="shared" si="18"/>
        <v/>
      </c>
      <c r="N123" s="30" t="str">
        <f t="shared" si="14"/>
        <v/>
      </c>
      <c r="O123" s="53" t="str">
        <f t="shared" si="23"/>
        <v/>
      </c>
      <c r="P123" s="55" t="str">
        <f t="shared" si="24"/>
        <v/>
      </c>
      <c r="R123" s="56">
        <f>IF($H$1="人民币电汇",0,IF(OR($H$1="原币划转",$H$1="美元结汇"),产品成本表!G136,-产品成本表!E136))+正常测算!R123</f>
        <v>0</v>
      </c>
      <c r="S123" s="64" t="str">
        <f t="shared" si="15"/>
        <v/>
      </c>
      <c r="T123" s="65" t="str">
        <f t="shared" si="19"/>
        <v/>
      </c>
      <c r="U123" s="10" t="str">
        <f>IF(J123="","",J123*IF($E$5&lt;=0.5,产品成本表!$E$3,IF($E$5&lt;=1,产品成本表!$E$4,IF($E$5&lt;=3,产品成本表!$E$5,IF($E$5&lt;=5,产品成本表!$E$6,产品成本表!$E$7)))))</f>
        <v/>
      </c>
    </row>
    <row r="124" spans="1:21">
      <c r="A124" s="49" t="str">
        <f t="shared" si="20"/>
        <v/>
      </c>
      <c r="B124" s="50" t="str">
        <f>IF($E$5*$E$7&lt;112,"",112)</f>
        <v/>
      </c>
      <c r="C124" s="51" t="str">
        <f>正常测算!C124</f>
        <v/>
      </c>
      <c r="D124" s="51" t="str">
        <f>正常测算!D124</f>
        <v/>
      </c>
      <c r="E124" s="51" t="str">
        <f t="shared" si="21"/>
        <v/>
      </c>
      <c r="F124" s="52" t="str">
        <f t="shared" si="22"/>
        <v/>
      </c>
      <c r="G124" s="56" t="str">
        <f>IF(C124="","",IF(SUM(C125:C$134)=0,C124-C$7+C$8+G$10+H124+R124,C124+H124+R124))</f>
        <v/>
      </c>
      <c r="H124" s="56">
        <f>正常测算!H124</f>
        <v>0</v>
      </c>
      <c r="I124" s="9" t="str">
        <f t="shared" si="16"/>
        <v/>
      </c>
      <c r="J124" s="9" t="str">
        <f t="shared" si="17"/>
        <v/>
      </c>
      <c r="K124" s="9" t="str">
        <f>IF(M124="","",IF(B125="",SUM($J$13:$J124),SUM($J$13:$J124,$J125*(M124-A124)/(A125-A124))))</f>
        <v/>
      </c>
      <c r="L124" s="9" t="str">
        <f>IF(M124="","",IF(B125="",SUM($D$13:$D124,$R$12:$R124,$G$5:$G$10,$C$9,-$C$10),SUM($D$13:$D124,$R$12:$R124,$G$5:$G$10,$D125*(M124-A124)/(A125-A124),$C$9,-$C$10)))</f>
        <v/>
      </c>
      <c r="M124" s="15" t="str">
        <f t="shared" si="18"/>
        <v/>
      </c>
      <c r="N124" s="30" t="str">
        <f t="shared" si="14"/>
        <v/>
      </c>
      <c r="O124" s="53" t="str">
        <f t="shared" si="23"/>
        <v/>
      </c>
      <c r="P124" s="55" t="str">
        <f t="shared" si="24"/>
        <v/>
      </c>
      <c r="R124" s="56">
        <f>IF($H$1="人民币电汇",0,IF(OR($H$1="原币划转",$H$1="美元结汇"),产品成本表!G137,-产品成本表!E137))+正常测算!R124</f>
        <v>0</v>
      </c>
      <c r="S124" s="64" t="str">
        <f t="shared" si="15"/>
        <v/>
      </c>
      <c r="T124" s="65" t="str">
        <f t="shared" si="19"/>
        <v/>
      </c>
      <c r="U124" s="10" t="str">
        <f>IF(J124="","",J124*IF($E$5&lt;=0.5,产品成本表!$E$3,IF($E$5&lt;=1,产品成本表!$E$4,IF($E$5&lt;=3,产品成本表!$E$5,IF($E$5&lt;=5,产品成本表!$E$6,产品成本表!$E$7)))))</f>
        <v/>
      </c>
    </row>
    <row r="125" spans="1:21">
      <c r="A125" s="49" t="str">
        <f t="shared" si="20"/>
        <v/>
      </c>
      <c r="B125" s="50" t="str">
        <f>IF($E$5*$E$7&lt;113,"",113)</f>
        <v/>
      </c>
      <c r="C125" s="51" t="str">
        <f>正常测算!C125</f>
        <v/>
      </c>
      <c r="D125" s="51" t="str">
        <f>正常测算!D125</f>
        <v/>
      </c>
      <c r="E125" s="51" t="str">
        <f t="shared" si="21"/>
        <v/>
      </c>
      <c r="F125" s="52" t="str">
        <f t="shared" si="22"/>
        <v/>
      </c>
      <c r="G125" s="56" t="str">
        <f>IF(C125="","",IF(SUM(C126:C$134)=0,C125-C$7+C$8+G$10+H125+R125,C125+H125+R125))</f>
        <v/>
      </c>
      <c r="H125" s="56">
        <f>正常测算!H125</f>
        <v>0</v>
      </c>
      <c r="I125" s="9" t="str">
        <f t="shared" si="16"/>
        <v/>
      </c>
      <c r="J125" s="9" t="str">
        <f t="shared" si="17"/>
        <v/>
      </c>
      <c r="K125" s="9" t="str">
        <f>IF(M125="","",IF(B126="",SUM($J$13:$J125),SUM($J$13:$J125,$J126*(M125-A125)/(A126-A125))))</f>
        <v/>
      </c>
      <c r="L125" s="9" t="str">
        <f>IF(M125="","",IF(B126="",SUM($D$13:$D125,$R$12:$R125,$G$5:$G$10,$C$9,-$C$10),SUM($D$13:$D125,$R$12:$R125,$G$5:$G$10,$D126*(M125-A125)/(A126-A125),$C$9,-$C$10)))</f>
        <v/>
      </c>
      <c r="M125" s="15" t="str">
        <f t="shared" si="18"/>
        <v/>
      </c>
      <c r="N125" s="30" t="str">
        <f t="shared" si="14"/>
        <v/>
      </c>
      <c r="O125" s="53" t="str">
        <f t="shared" si="23"/>
        <v/>
      </c>
      <c r="P125" s="55" t="str">
        <f t="shared" si="24"/>
        <v/>
      </c>
      <c r="R125" s="56">
        <f>IF($H$1="人民币电汇",0,IF(OR($H$1="原币划转",$H$1="美元结汇"),产品成本表!G138,-产品成本表!E138))+正常测算!R125</f>
        <v>0</v>
      </c>
      <c r="S125" s="64" t="str">
        <f t="shared" si="15"/>
        <v/>
      </c>
      <c r="T125" s="65" t="str">
        <f t="shared" si="19"/>
        <v/>
      </c>
      <c r="U125" s="10" t="str">
        <f>IF(J125="","",J125*IF($E$5&lt;=0.5,产品成本表!$E$3,IF($E$5&lt;=1,产品成本表!$E$4,IF($E$5&lt;=3,产品成本表!$E$5,IF($E$5&lt;=5,产品成本表!$E$6,产品成本表!$E$7)))))</f>
        <v/>
      </c>
    </row>
    <row r="126" spans="1:21">
      <c r="A126" s="49" t="str">
        <f t="shared" si="20"/>
        <v/>
      </c>
      <c r="B126" s="50" t="str">
        <f>IF($E$5*$E$7&lt;114,"",114)</f>
        <v/>
      </c>
      <c r="C126" s="51" t="str">
        <f>正常测算!C126</f>
        <v/>
      </c>
      <c r="D126" s="51" t="str">
        <f>正常测算!D126</f>
        <v/>
      </c>
      <c r="E126" s="51" t="str">
        <f t="shared" si="21"/>
        <v/>
      </c>
      <c r="F126" s="52" t="str">
        <f t="shared" si="22"/>
        <v/>
      </c>
      <c r="G126" s="56" t="str">
        <f>IF(C126="","",IF(SUM(C127:C$134)=0,C126-C$7+C$8+G$10+H126+R126,C126+H126+R126))</f>
        <v/>
      </c>
      <c r="H126" s="56">
        <f>正常测算!H126</f>
        <v>0</v>
      </c>
      <c r="I126" s="9" t="str">
        <f t="shared" si="16"/>
        <v/>
      </c>
      <c r="J126" s="9" t="str">
        <f t="shared" si="17"/>
        <v/>
      </c>
      <c r="K126" s="9" t="str">
        <f>IF(M126="","",IF(B127="",SUM($J$13:$J126),SUM($J$13:$J126,$J127*(M126-A126)/(A127-A126))))</f>
        <v/>
      </c>
      <c r="L126" s="9" t="str">
        <f>IF(M126="","",IF(B127="",SUM($D$13:$D126,$R$12:$R126,$G$5:$G$10,$C$9,-$C$10),SUM($D$13:$D126,$R$12:$R126,$G$5:$G$10,$D127*(M126-A126)/(A127-A126),$C$9,-$C$10)))</f>
        <v/>
      </c>
      <c r="M126" s="15" t="str">
        <f t="shared" si="18"/>
        <v/>
      </c>
      <c r="N126" s="30" t="str">
        <f t="shared" si="14"/>
        <v/>
      </c>
      <c r="O126" s="53" t="str">
        <f t="shared" si="23"/>
        <v/>
      </c>
      <c r="P126" s="55" t="str">
        <f t="shared" si="24"/>
        <v/>
      </c>
      <c r="R126" s="56">
        <f>IF($H$1="人民币电汇",0,IF(OR($H$1="原币划转",$H$1="美元结汇"),产品成本表!G139,-产品成本表!E139))+正常测算!R126</f>
        <v>0</v>
      </c>
      <c r="S126" s="64" t="str">
        <f t="shared" si="15"/>
        <v/>
      </c>
      <c r="T126" s="65" t="str">
        <f t="shared" si="19"/>
        <v/>
      </c>
      <c r="U126" s="10" t="str">
        <f>IF(J126="","",J126*IF($E$5&lt;=0.5,产品成本表!$E$3,IF($E$5&lt;=1,产品成本表!$E$4,IF($E$5&lt;=3,产品成本表!$E$5,IF($E$5&lt;=5,产品成本表!$E$6,产品成本表!$E$7)))))</f>
        <v/>
      </c>
    </row>
    <row r="127" spans="1:21">
      <c r="A127" s="49" t="str">
        <f t="shared" si="20"/>
        <v/>
      </c>
      <c r="B127" s="50" t="str">
        <f>IF($E$5*$E$7&lt;115,"",115)</f>
        <v/>
      </c>
      <c r="C127" s="51" t="str">
        <f>正常测算!C127</f>
        <v/>
      </c>
      <c r="D127" s="51" t="str">
        <f>正常测算!D127</f>
        <v/>
      </c>
      <c r="E127" s="51" t="str">
        <f t="shared" si="21"/>
        <v/>
      </c>
      <c r="F127" s="52" t="str">
        <f t="shared" si="22"/>
        <v/>
      </c>
      <c r="G127" s="56" t="str">
        <f>IF(C127="","",IF(SUM(C128:C$134)=0,C127-C$7+C$8+G$10+H127+R127,C127+H127+R127))</f>
        <v/>
      </c>
      <c r="H127" s="56">
        <f>正常测算!H127</f>
        <v>0</v>
      </c>
      <c r="I127" s="9" t="str">
        <f t="shared" si="16"/>
        <v/>
      </c>
      <c r="J127" s="9" t="str">
        <f t="shared" si="17"/>
        <v/>
      </c>
      <c r="K127" s="9" t="str">
        <f>IF(M127="","",IF(B128="",SUM($J$13:$J127),SUM($J$13:$J127,$J128*(M127-A127)/(A128-A127))))</f>
        <v/>
      </c>
      <c r="L127" s="9" t="str">
        <f>IF(M127="","",IF(B128="",SUM($D$13:$D127,$R$12:$R127,$G$5:$G$10,$C$9,-$C$10),SUM($D$13:$D127,$R$12:$R127,$G$5:$G$10,$D128*(M127-A127)/(A128-A127),$C$9,-$C$10)))</f>
        <v/>
      </c>
      <c r="M127" s="15" t="str">
        <f t="shared" si="18"/>
        <v/>
      </c>
      <c r="N127" s="30" t="str">
        <f t="shared" si="14"/>
        <v/>
      </c>
      <c r="O127" s="53" t="str">
        <f t="shared" si="23"/>
        <v/>
      </c>
      <c r="P127" s="55" t="str">
        <f t="shared" si="24"/>
        <v/>
      </c>
      <c r="R127" s="56">
        <f>IF($H$1="人民币电汇",0,IF(OR($H$1="原币划转",$H$1="美元结汇"),产品成本表!G140,-产品成本表!E140))+正常测算!R127</f>
        <v>0</v>
      </c>
      <c r="S127" s="64" t="str">
        <f t="shared" si="15"/>
        <v/>
      </c>
      <c r="T127" s="65" t="str">
        <f t="shared" si="19"/>
        <v/>
      </c>
      <c r="U127" s="10" t="str">
        <f>IF(J127="","",J127*IF($E$5&lt;=0.5,产品成本表!$E$3,IF($E$5&lt;=1,产品成本表!$E$4,IF($E$5&lt;=3,产品成本表!$E$5,IF($E$5&lt;=5,产品成本表!$E$6,产品成本表!$E$7)))))</f>
        <v/>
      </c>
    </row>
    <row r="128" spans="1:21">
      <c r="A128" s="49" t="str">
        <f t="shared" si="20"/>
        <v/>
      </c>
      <c r="B128" s="50" t="str">
        <f>IF($E$5*$E$7&lt;116,"",116)</f>
        <v/>
      </c>
      <c r="C128" s="51" t="str">
        <f>正常测算!C128</f>
        <v/>
      </c>
      <c r="D128" s="51" t="str">
        <f>正常测算!D128</f>
        <v/>
      </c>
      <c r="E128" s="51" t="str">
        <f t="shared" si="21"/>
        <v/>
      </c>
      <c r="F128" s="52" t="str">
        <f t="shared" si="22"/>
        <v/>
      </c>
      <c r="G128" s="56" t="str">
        <f>IF(C128="","",IF(SUM(C129:C$134)=0,C128-C$7+C$8+G$10+H128+R128,C128+H128+R128))</f>
        <v/>
      </c>
      <c r="H128" s="56">
        <f>正常测算!H128</f>
        <v>0</v>
      </c>
      <c r="I128" s="9" t="str">
        <f t="shared" si="16"/>
        <v/>
      </c>
      <c r="J128" s="9" t="str">
        <f t="shared" si="17"/>
        <v/>
      </c>
      <c r="K128" s="9" t="str">
        <f>IF(M128="","",IF(B129="",SUM($J$13:$J128),SUM($J$13:$J128,$J129*(M128-A128)/(A129-A128))))</f>
        <v/>
      </c>
      <c r="L128" s="9" t="str">
        <f>IF(M128="","",IF(B129="",SUM($D$13:$D128,$R$12:$R128,$G$5:$G$10,$C$9,-$C$10),SUM($D$13:$D128,$R$12:$R128,$G$5:$G$10,$D129*(M128-A128)/(A129-A128),$C$9,-$C$10)))</f>
        <v/>
      </c>
      <c r="M128" s="15" t="str">
        <f t="shared" si="18"/>
        <v/>
      </c>
      <c r="N128" s="30" t="str">
        <f t="shared" si="14"/>
        <v/>
      </c>
      <c r="O128" s="53" t="str">
        <f t="shared" si="23"/>
        <v/>
      </c>
      <c r="P128" s="55" t="str">
        <f t="shared" si="24"/>
        <v/>
      </c>
      <c r="R128" s="56">
        <f>IF($H$1="人民币电汇",0,IF(OR($H$1="原币划转",$H$1="美元结汇"),产品成本表!G141,-产品成本表!E141))+正常测算!R128</f>
        <v>0</v>
      </c>
      <c r="S128" s="64" t="str">
        <f t="shared" si="15"/>
        <v/>
      </c>
      <c r="T128" s="65" t="str">
        <f t="shared" si="19"/>
        <v/>
      </c>
      <c r="U128" s="10" t="str">
        <f>IF(J128="","",J128*IF($E$5&lt;=0.5,产品成本表!$E$3,IF($E$5&lt;=1,产品成本表!$E$4,IF($E$5&lt;=3,产品成本表!$E$5,IF($E$5&lt;=5,产品成本表!$E$6,产品成本表!$E$7)))))</f>
        <v/>
      </c>
    </row>
    <row r="129" spans="1:21">
      <c r="A129" s="49" t="str">
        <f t="shared" si="20"/>
        <v/>
      </c>
      <c r="B129" s="50" t="str">
        <f>IF($E$5*$E$7&lt;117,"",117)</f>
        <v/>
      </c>
      <c r="C129" s="51" t="str">
        <f>正常测算!C129</f>
        <v/>
      </c>
      <c r="D129" s="51" t="str">
        <f>正常测算!D129</f>
        <v/>
      </c>
      <c r="E129" s="51" t="str">
        <f t="shared" si="21"/>
        <v/>
      </c>
      <c r="F129" s="52" t="str">
        <f t="shared" si="22"/>
        <v/>
      </c>
      <c r="G129" s="56" t="str">
        <f>IF(C129="","",IF(SUM(C130:C$134)=0,C129-C$7+C$8+G$10+H129+R129,C129+H129+R129))</f>
        <v/>
      </c>
      <c r="H129" s="56">
        <f>正常测算!H129</f>
        <v>0</v>
      </c>
      <c r="I129" s="9" t="str">
        <f t="shared" si="16"/>
        <v/>
      </c>
      <c r="J129" s="9" t="str">
        <f t="shared" si="17"/>
        <v/>
      </c>
      <c r="K129" s="9" t="str">
        <f>IF(M129="","",IF(B130="",SUM($J$13:$J129),SUM($J$13:$J129,$J130*(M129-A129)/(A130-A129))))</f>
        <v/>
      </c>
      <c r="L129" s="9" t="str">
        <f>IF(M129="","",IF(B130="",SUM($D$13:$D129,$R$12:$R129,$G$5:$G$10,$C$9,-$C$10),SUM($D$13:$D129,$R$12:$R129,$G$5:$G$10,$D130*(M129-A129)/(A130-A129),$C$9,-$C$10)))</f>
        <v/>
      </c>
      <c r="M129" s="15" t="str">
        <f t="shared" si="18"/>
        <v/>
      </c>
      <c r="N129" s="30" t="str">
        <f t="shared" si="14"/>
        <v/>
      </c>
      <c r="O129" s="53" t="str">
        <f t="shared" si="23"/>
        <v/>
      </c>
      <c r="P129" s="55" t="str">
        <f t="shared" si="24"/>
        <v/>
      </c>
      <c r="R129" s="56">
        <f>IF($H$1="人民币电汇",0,IF(OR($H$1="原币划转",$H$1="美元结汇"),产品成本表!G142,-产品成本表!E142))+正常测算!R129</f>
        <v>0</v>
      </c>
      <c r="S129" s="64" t="str">
        <f t="shared" si="15"/>
        <v/>
      </c>
      <c r="T129" s="65" t="str">
        <f t="shared" si="19"/>
        <v/>
      </c>
      <c r="U129" s="10" t="str">
        <f>IF(J129="","",J129*IF($E$5&lt;=0.5,产品成本表!$E$3,IF($E$5&lt;=1,产品成本表!$E$4,IF($E$5&lt;=3,产品成本表!$E$5,IF($E$5&lt;=5,产品成本表!$E$6,产品成本表!$E$7)))))</f>
        <v/>
      </c>
    </row>
    <row r="130" spans="1:21">
      <c r="A130" s="49" t="str">
        <f t="shared" si="20"/>
        <v/>
      </c>
      <c r="B130" s="50" t="str">
        <f>IF($E$5*$E$7&lt;118,"",118)</f>
        <v/>
      </c>
      <c r="C130" s="51" t="str">
        <f>正常测算!C130</f>
        <v/>
      </c>
      <c r="D130" s="51" t="str">
        <f>正常测算!D130</f>
        <v/>
      </c>
      <c r="E130" s="51" t="str">
        <f t="shared" si="21"/>
        <v/>
      </c>
      <c r="F130" s="52" t="str">
        <f t="shared" si="22"/>
        <v/>
      </c>
      <c r="G130" s="56" t="str">
        <f>IF(C130="","",IF(SUM(C131:C$134)=0,C130-C$7+C$8+G$10+H130+R130,C130+H130+R130))</f>
        <v/>
      </c>
      <c r="H130" s="56">
        <f>正常测算!H130</f>
        <v>0</v>
      </c>
      <c r="I130" s="9" t="str">
        <f t="shared" si="16"/>
        <v/>
      </c>
      <c r="J130" s="9" t="str">
        <f t="shared" si="17"/>
        <v/>
      </c>
      <c r="K130" s="9" t="str">
        <f>IF(M130="","",IF(B131="",SUM($J$13:$J130),SUM($J$13:$J130,$J131*(M130-A130)/(A131-A130))))</f>
        <v/>
      </c>
      <c r="L130" s="9" t="str">
        <f>IF(M130="","",IF(B131="",SUM($D$13:$D130,$R$12:$R130,$G$5:$G$10,$C$9,-$C$10),SUM($D$13:$D130,$R$12:$R130,$G$5:$G$10,$D131*(M130-A130)/(A131-A130),$C$9,-$C$10)))</f>
        <v/>
      </c>
      <c r="M130" s="15" t="str">
        <f t="shared" si="18"/>
        <v/>
      </c>
      <c r="N130" s="30" t="str">
        <f t="shared" si="14"/>
        <v/>
      </c>
      <c r="O130" s="53" t="str">
        <f t="shared" si="23"/>
        <v/>
      </c>
      <c r="P130" s="55" t="str">
        <f t="shared" si="24"/>
        <v/>
      </c>
      <c r="R130" s="56">
        <f>IF($H$1="人民币电汇",0,IF(OR($H$1="原币划转",$H$1="美元结汇"),产品成本表!G143,-产品成本表!E143))+正常测算!R130</f>
        <v>0</v>
      </c>
      <c r="S130" s="64" t="str">
        <f t="shared" si="15"/>
        <v/>
      </c>
      <c r="T130" s="65" t="str">
        <f t="shared" si="19"/>
        <v/>
      </c>
      <c r="U130" s="10" t="str">
        <f>IF(J130="","",J130*IF($E$5&lt;=0.5,产品成本表!$E$3,IF($E$5&lt;=1,产品成本表!$E$4,IF($E$5&lt;=3,产品成本表!$E$5,IF($E$5&lt;=5,产品成本表!$E$6,产品成本表!$E$7)))))</f>
        <v/>
      </c>
    </row>
    <row r="131" spans="1:21">
      <c r="A131" s="49" t="str">
        <f t="shared" si="20"/>
        <v/>
      </c>
      <c r="B131" s="50" t="str">
        <f>IF($E$5*$E$7&lt;119,"",119)</f>
        <v/>
      </c>
      <c r="C131" s="51" t="str">
        <f>正常测算!C131</f>
        <v/>
      </c>
      <c r="D131" s="51" t="str">
        <f>正常测算!D131</f>
        <v/>
      </c>
      <c r="E131" s="51" t="str">
        <f t="shared" si="21"/>
        <v/>
      </c>
      <c r="F131" s="52" t="str">
        <f t="shared" si="22"/>
        <v/>
      </c>
      <c r="G131" s="56" t="str">
        <f>IF(C131="","",IF(SUM(C132:C$134)=0,C131-C$7+C$8+G$10+H131+R131,C131+H131+R131))</f>
        <v/>
      </c>
      <c r="H131" s="56">
        <f>正常测算!H131</f>
        <v>0</v>
      </c>
      <c r="I131" s="9" t="str">
        <f t="shared" si="16"/>
        <v/>
      </c>
      <c r="J131" s="9" t="str">
        <f t="shared" si="17"/>
        <v/>
      </c>
      <c r="K131" s="9" t="str">
        <f>IF(M131="","",IF(B132="",SUM($J$13:$J131),SUM($J$13:$J131,$J132*(M131-A131)/(A132-A131))))</f>
        <v/>
      </c>
      <c r="L131" s="9" t="str">
        <f>IF(M131="","",IF(B132="",SUM($D$13:$D131,$R$12:$R131,$G$5:$G$10,$C$9,-$C$10),SUM($D$13:$D131,$R$12:$R131,$G$5:$G$10,$D132*(M131-A131)/(A132-A131),$C$9,-$C$10)))</f>
        <v/>
      </c>
      <c r="M131" s="15" t="str">
        <f t="shared" si="18"/>
        <v/>
      </c>
      <c r="N131" s="30" t="str">
        <f t="shared" si="14"/>
        <v/>
      </c>
      <c r="O131" s="53" t="str">
        <f t="shared" si="23"/>
        <v/>
      </c>
      <c r="P131" s="55" t="str">
        <f t="shared" si="24"/>
        <v/>
      </c>
      <c r="R131" s="56">
        <f>IF($H$1="人民币电汇",0,IF(OR($H$1="原币划转",$H$1="美元结汇"),产品成本表!G144,-产品成本表!E144))+正常测算!R131</f>
        <v>0</v>
      </c>
      <c r="S131" s="64" t="str">
        <f t="shared" si="15"/>
        <v/>
      </c>
      <c r="T131" s="65" t="str">
        <f t="shared" si="19"/>
        <v/>
      </c>
      <c r="U131" s="10" t="str">
        <f>IF(J131="","",J131*IF($E$5&lt;=0.5,产品成本表!$E$3,IF($E$5&lt;=1,产品成本表!$E$4,IF($E$5&lt;=3,产品成本表!$E$5,IF($E$5&lt;=5,产品成本表!$E$6,产品成本表!$E$7)))))</f>
        <v/>
      </c>
    </row>
    <row r="132" spans="1:21">
      <c r="A132" s="49" t="str">
        <f t="shared" si="20"/>
        <v/>
      </c>
      <c r="B132" s="50" t="str">
        <f>IF($E$5*$E$7&lt;120,"",120)</f>
        <v/>
      </c>
      <c r="C132" s="51" t="str">
        <f>正常测算!C132</f>
        <v/>
      </c>
      <c r="D132" s="51" t="str">
        <f>正常测算!D132</f>
        <v/>
      </c>
      <c r="E132" s="51" t="str">
        <f t="shared" si="21"/>
        <v/>
      </c>
      <c r="F132" s="52" t="str">
        <f t="shared" si="22"/>
        <v/>
      </c>
      <c r="G132" s="56" t="str">
        <f>IF(C132="","",IF(SUM(C133:C$134)=0,C132-C$7+C$8+G$10+H132+R132,C132+H132+R132))</f>
        <v/>
      </c>
      <c r="H132" s="56">
        <f>正常测算!H132</f>
        <v>0</v>
      </c>
      <c r="I132" s="9" t="str">
        <f t="shared" si="16"/>
        <v/>
      </c>
      <c r="J132" s="9" t="str">
        <f t="shared" si="17"/>
        <v/>
      </c>
      <c r="K132" s="9" t="str">
        <f>IF(M132="","",IF(B133="",SUM($J$13:$J132),SUM($J$13:$J132,$J133*(M132-A132)/(A133-A132))))</f>
        <v/>
      </c>
      <c r="L132" s="9" t="str">
        <f>IF(M132="","",IF(B133="",SUM($D$13:$D132,$R$12:$R132,$G$5:$G$10,$C$9,-$C$10),SUM($D$13:$D132,$R$12:$R132,$G$5:$G$10,$D133*(M132-A132)/(A133-A132),$C$9,-$C$10)))</f>
        <v/>
      </c>
      <c r="M132" s="15" t="str">
        <f t="shared" si="18"/>
        <v/>
      </c>
      <c r="N132" s="30" t="str">
        <f t="shared" si="14"/>
        <v/>
      </c>
      <c r="O132" s="53" t="str">
        <f t="shared" si="23"/>
        <v/>
      </c>
      <c r="P132" s="55" t="str">
        <f t="shared" si="24"/>
        <v/>
      </c>
      <c r="R132" s="56">
        <f>IF($H$1="人民币电汇",0,IF(OR($H$1="原币划转",$H$1="美元结汇"),产品成本表!G145,-产品成本表!E145))+正常测算!R132</f>
        <v>0</v>
      </c>
      <c r="S132" s="64" t="str">
        <f t="shared" si="15"/>
        <v/>
      </c>
      <c r="T132" s="65" t="str">
        <f t="shared" si="19"/>
        <v/>
      </c>
      <c r="U132" s="10" t="str">
        <f>IF(J132="","",J132*IF($E$5&lt;=0.5,产品成本表!$E$3,IF($E$5&lt;=1,产品成本表!$E$4,IF($E$5&lt;=3,产品成本表!$E$5,IF($E$5&lt;=5,产品成本表!$E$6,产品成本表!$E$7)))))</f>
        <v/>
      </c>
    </row>
    <row r="133" spans="1:21">
      <c r="A133" s="49" t="str">
        <f t="shared" si="20"/>
        <v/>
      </c>
      <c r="B133" s="50" t="str">
        <f>IF($E$5*$E$7&lt;121,"",121)</f>
        <v/>
      </c>
      <c r="C133" s="51" t="str">
        <f>正常测算!C133</f>
        <v/>
      </c>
      <c r="D133" s="51" t="str">
        <f>正常测算!D133</f>
        <v/>
      </c>
      <c r="E133" s="51" t="str">
        <f t="shared" si="21"/>
        <v/>
      </c>
      <c r="F133" s="52" t="str">
        <f t="shared" si="22"/>
        <v/>
      </c>
      <c r="G133" s="56" t="str">
        <f>IF(C133="","",IF(SUM(C134:C$134)=0,C133-C$7+C$8+G$10+H133+R133,C133+H133+R133))</f>
        <v/>
      </c>
      <c r="H133" s="56">
        <f>正常测算!H133</f>
        <v>0</v>
      </c>
      <c r="I133" s="9" t="str">
        <f t="shared" si="16"/>
        <v/>
      </c>
      <c r="J133" s="9" t="str">
        <f t="shared" si="17"/>
        <v/>
      </c>
      <c r="K133" s="9" t="str">
        <f>IF(M133="","",IF(B134="",SUM($J$13:$J133),SUM($J$13:$J133,$J134*(M133-A133)/(A134-A133))))</f>
        <v/>
      </c>
      <c r="L133" s="9" t="str">
        <f>IF(M133="","",IF(B134="",SUM($D$13:$D133,$R$12:$R133,$G$5:$G$10,$C$9,-$C$10),SUM($D$13:$D133,$R$12:$R133,$G$5:$G$10,$D134*(M133-A133)/(A134-A133),$C$9,-$C$10)))</f>
        <v/>
      </c>
      <c r="M133" s="15" t="str">
        <f t="shared" si="18"/>
        <v/>
      </c>
      <c r="N133" s="30" t="str">
        <f t="shared" si="14"/>
        <v/>
      </c>
      <c r="O133" s="53" t="str">
        <f t="shared" si="23"/>
        <v/>
      </c>
      <c r="P133" s="55" t="str">
        <f t="shared" si="24"/>
        <v/>
      </c>
      <c r="R133" s="56">
        <f>IF($H$1="人民币电汇",0,IF(OR($H$1="原币划转",$H$1="美元结汇"),产品成本表!G146,-产品成本表!E146))+正常测算!R133</f>
        <v>0</v>
      </c>
      <c r="S133" s="64" t="str">
        <f t="shared" si="15"/>
        <v/>
      </c>
      <c r="T133" s="65" t="str">
        <f t="shared" si="19"/>
        <v/>
      </c>
      <c r="U133" s="10" t="str">
        <f>IF(J133="","",J133*IF($E$5&lt;=0.5,产品成本表!$E$3,IF($E$5&lt;=1,产品成本表!$E$4,IF($E$5&lt;=3,产品成本表!$E$5,IF($E$5&lt;=5,产品成本表!$E$6,产品成本表!$E$7)))))</f>
        <v/>
      </c>
    </row>
    <row r="134" spans="1:21">
      <c r="A134" s="49" t="str">
        <f t="shared" si="20"/>
        <v/>
      </c>
      <c r="B134" s="50" t="str">
        <f>IF($E$5*$E$7&lt;122,"",122)</f>
        <v/>
      </c>
      <c r="C134" s="51" t="str">
        <f>正常测算!C134</f>
        <v/>
      </c>
      <c r="D134" s="51" t="str">
        <f>正常测算!D134</f>
        <v/>
      </c>
      <c r="E134" s="51" t="str">
        <f t="shared" si="21"/>
        <v/>
      </c>
      <c r="F134" s="52" t="str">
        <f t="shared" si="22"/>
        <v/>
      </c>
      <c r="G134" s="56" t="str">
        <f>IF(C134="","",IF(SUM(C$134:C135)=0,C134-C$7+C$8+G$10+H134+R134,C134+H134+R134))</f>
        <v/>
      </c>
      <c r="H134" s="56">
        <f>正常测算!H134</f>
        <v>0</v>
      </c>
      <c r="I134" s="9"/>
      <c r="J134" s="9" t="str">
        <f t="shared" si="17"/>
        <v/>
      </c>
      <c r="K134" s="9" t="str">
        <f>IF(M134="","",IF(B135="",SUM($J$13:$J134),SUM($J$13:$J134,$J135*(M134-A134)/(A135-A134))))</f>
        <v/>
      </c>
      <c r="L134" s="9" t="str">
        <f>IF(M134="","",IF(B135="",SUM($D$13:$D134,$R$12:$R134,$G$5:$G$10,$C$9,-$C$10),SUM($D$13:$D134,$R$12:$R134,$G$5:$G$10,$D135*(M134-A134)/(A135-A134),$C$9,-$C$10)))</f>
        <v/>
      </c>
      <c r="M134" s="15" t="str">
        <f t="shared" si="18"/>
        <v/>
      </c>
      <c r="N134" s="30" t="str">
        <f t="shared" si="14"/>
        <v/>
      </c>
      <c r="O134" s="53" t="str">
        <f t="shared" si="23"/>
        <v/>
      </c>
      <c r="P134" s="55" t="str">
        <f t="shared" si="24"/>
        <v/>
      </c>
      <c r="R134" s="56">
        <f>IF($H$1="人民币电汇",0,IF(OR($H$1="原币划转",$H$1="美元结汇"),产品成本表!G147,-产品成本表!E147))+正常测算!R134</f>
        <v>0</v>
      </c>
      <c r="S134" s="64" t="str">
        <f t="shared" si="15"/>
        <v/>
      </c>
      <c r="T134" s="65" t="str">
        <f t="shared" si="19"/>
        <v/>
      </c>
      <c r="U134" s="10" t="str">
        <f>IF(J134="","",J134*IF($E$5&lt;=0.5,产品成本表!$E$3,IF($E$5&lt;=1,产品成本表!$E$4,IF($E$5&lt;=3,产品成本表!$E$5,IF($E$5&lt;=5,产品成本表!$E$6,产品成本表!$E$7)))))</f>
        <v/>
      </c>
    </row>
    <row r="136" spans="1:21">
      <c r="R136" s="81">
        <f>SUM(R12:R134)-IF(H1="原币划转",SUM(产品成本表!G24:G147),IF(H1="美元结汇",SUM(产品成本表!G24:G147),-SUM(产品成本表!E24:E147)))</f>
        <v>0</v>
      </c>
      <c r="S136" s="107" t="s">
        <v>111</v>
      </c>
    </row>
  </sheetData>
  <sheetProtection password="CC4D" sheet="1" formatCells="0" formatColumns="0" formatRows="0" insertColumns="0" insertRows="0" selectLockedCells="1"/>
  <mergeCells count="14">
    <mergeCell ref="S5:S6"/>
    <mergeCell ref="T5:T6"/>
    <mergeCell ref="O10:P10"/>
    <mergeCell ref="B11:B12"/>
    <mergeCell ref="C11:C12"/>
    <mergeCell ref="D11:D12"/>
    <mergeCell ref="E11:E12"/>
    <mergeCell ref="O11:P11"/>
    <mergeCell ref="O9:P9"/>
    <mergeCell ref="B1:G1"/>
    <mergeCell ref="O2:P4"/>
    <mergeCell ref="O6:P6"/>
    <mergeCell ref="O7:P7"/>
    <mergeCell ref="O8:P8"/>
  </mergeCells>
  <phoneticPr fontId="2" type="noConversion"/>
  <conditionalFormatting sqref="H11 R11">
    <cfRule type="expression" dxfId="3" priority="1" stopIfTrue="1">
      <formula>SUM(H12:H134)&lt;&gt;0</formula>
    </cfRule>
  </conditionalFormatting>
  <conditionalFormatting sqref="E2 C2">
    <cfRule type="expression" dxfId="2" priority="2" stopIfTrue="1">
      <formula>AND($J$2=0,$K$2=1)</formula>
    </cfRule>
  </conditionalFormatting>
  <conditionalFormatting sqref="A7">
    <cfRule type="expression" dxfId="1" priority="3" stopIfTrue="1">
      <formula>AND(A10&lt;&gt;C5-C6-C8+C9,K2=0)</formula>
    </cfRule>
  </conditionalFormatting>
  <conditionalFormatting sqref="A9">
    <cfRule type="expression" dxfId="0" priority="4" stopIfTrue="1">
      <formula>AND(A10&lt;&gt;C5-C6-C8+C9,K2=1)</formula>
    </cfRule>
  </conditionalFormatting>
  <dataValidations xWindow="1041" yWindow="687" count="20">
    <dataValidation allowBlank="1" showInputMessage="1" showErrorMessage="1" prompt="起租日" sqref="A12"/>
    <dataValidation allowBlank="1" showInputMessage="1" showErrorMessage="1" prompt="适用于保证金和设备款非即期收付调整，_x000a_现金流调整有正必有负,正负必相等。_x000a_注:服务费等收入或补贴调整请使用R列。" sqref="H12:H134"/>
    <dataValidation allowBlank="1" showInputMessage="1" showErrorMessage="1" prompt="年末日参照,勿修改" sqref="J12"/>
    <dataValidation allowBlank="1" showInputMessage="1" showErrorMessage="1" prompt="当年末累计收益" sqref="L12:L134"/>
    <dataValidation allowBlank="1" showInputMessage="1" showErrorMessage="1" prompt="当年末累计资金占用" sqref="K12:K134"/>
    <dataValidation allowBlank="1" showInputMessage="1" showErrorMessage="1" prompt="当期资金占用" sqref="J13:J134"/>
    <dataValidation allowBlank="1" showInputMessage="1" showErrorMessage="1" prompt="当期净未回收成本" sqref="I12:I134"/>
    <dataValidation allowBlank="1" showInputMessage="1" showErrorMessage="1" prompt="适用于服务费等收入和补贴非即期收付调整;_x000a_现金流调整有正必有负,正负必相等。" sqref="R12:R134"/>
    <dataValidation type="date" allowBlank="1" showInputMessage="1" showErrorMessage="1" error="_x000a_请输入日期格式_x000a__x000a_例：2010.2.8_x000a_或：2010-2-8" sqref="A13:A134">
      <formula1>36892</formula1>
      <formula2>44135</formula2>
    </dataValidation>
    <dataValidation allowBlank="1" showInputMessage="1" showErrorMessage="1" prompt="当年占用" sqref="I7:N7"/>
    <dataValidation allowBlank="1" showInputMessage="1" showErrorMessage="1" prompt="当年收入" sqref="I6:N6"/>
    <dataValidation allowBlank="1" showInputMessage="1" showErrorMessage="1" prompt="当年及以后年占用" sqref="I10:N10"/>
    <dataValidation allowBlank="1" showInputMessage="1" showErrorMessage="1" prompt="当年及以后年收入" sqref="I9:N9"/>
    <dataValidation allowBlank="1" showInputMessage="1" showErrorMessage="1" prompt="资产报酬率" sqref="I8:N8"/>
    <dataValidation allowBlank="1" showInputMessage="1" showErrorMessage="1" prompt="来自供货商" sqref="G5:G10"/>
    <dataValidation allowBlank="1" showInputMessage="1" showErrorMessage="1" prompt="例:租期为20月输入=20/12" sqref="E5:E7"/>
    <dataValidation type="list" showInputMessage="1" showErrorMessage="1" sqref="E2">
      <formula1>"等额租金,等额本金,不等额租金"</formula1>
    </dataValidation>
    <dataValidation type="list" showInputMessage="1" showErrorMessage="1" sqref="C2">
      <formula1>"明示利率,隐含利率"</formula1>
    </dataValidation>
    <dataValidation allowBlank="1" showInputMessage="1" showErrorMessage="1" prompt="TCR" sqref="I11:N11"/>
    <dataValidation type="date" allowBlank="1" showInputMessage="1" showErrorMessage="1" error="_x000a_请输入日期格式_x000a__x000a_例：2010.2.8_x000a_或：2010-2-8" prompt="请合理预计并调整起租日" sqref="E10">
      <formula1>36892</formula1>
      <formula2>44135</formula2>
    </dataValidation>
  </dataValidations>
  <pageMargins left="0.75" right="0.75" top="1" bottom="1" header="0.5" footer="0.5"/>
  <pageSetup paperSize="9"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I147"/>
  <sheetViews>
    <sheetView zoomScale="90" zoomScaleNormal="90" workbookViewId="0">
      <selection activeCell="E19" sqref="E19"/>
    </sheetView>
  </sheetViews>
  <sheetFormatPr defaultRowHeight="14.25"/>
  <cols>
    <col min="1" max="1" width="26.5" customWidth="1"/>
    <col min="2" max="2" width="13.75" customWidth="1"/>
    <col min="3" max="3" width="21" customWidth="1"/>
    <col min="4" max="4" width="31.625" bestFit="1" customWidth="1"/>
    <col min="5" max="5" width="25" bestFit="1" customWidth="1"/>
    <col min="6" max="6" width="23" bestFit="1" customWidth="1"/>
    <col min="7" max="7" width="26.875" bestFit="1" customWidth="1"/>
    <col min="8" max="8" width="16.125" bestFit="1" customWidth="1"/>
  </cols>
  <sheetData>
    <row r="1" spans="1:6" ht="27.75" customHeight="1">
      <c r="A1" s="80" t="s">
        <v>79</v>
      </c>
      <c r="B1" s="82" t="str">
        <f>指标还原!H2</f>
        <v>No.20140325</v>
      </c>
      <c r="C1" s="80"/>
      <c r="D1" s="98" t="s">
        <v>100</v>
      </c>
      <c r="E1" s="99">
        <v>41096</v>
      </c>
      <c r="F1" s="80"/>
    </row>
    <row r="2" spans="1:6" ht="26.25" customHeight="1">
      <c r="A2" s="82" t="s">
        <v>71</v>
      </c>
      <c r="B2" s="82" t="s">
        <v>72</v>
      </c>
      <c r="D2" s="88" t="s">
        <v>80</v>
      </c>
      <c r="E2" s="88" t="s">
        <v>99</v>
      </c>
    </row>
    <row r="3" spans="1:6">
      <c r="A3" s="82" t="s">
        <v>82</v>
      </c>
      <c r="B3" s="86">
        <f>IF(指标还原!E5&lt;=产品成本表!D3,产品成本表!E3,IF(指标还原!E5&lt;=产品成本表!D4,产品成本表!E4,IF(指标还原!E5&lt;=产品成本表!D5,产品成本表!E5,IF(指标还原!E5&lt;=产品成本表!D6,产品成本表!E6,产品成本表!E7))))</f>
        <v>0.06</v>
      </c>
      <c r="D3" s="82">
        <v>0.5</v>
      </c>
      <c r="E3" s="87">
        <v>5.6000000000000001E-2</v>
      </c>
    </row>
    <row r="4" spans="1:6">
      <c r="A4" s="82" t="s">
        <v>88</v>
      </c>
      <c r="B4" s="87">
        <v>2.8000000000000001E-2</v>
      </c>
      <c r="D4" s="82">
        <v>1</v>
      </c>
      <c r="E4" s="87">
        <v>0.06</v>
      </c>
    </row>
    <row r="5" spans="1:6">
      <c r="A5" s="82" t="s">
        <v>75</v>
      </c>
      <c r="B5" s="87">
        <v>2.1999999999999999E-2</v>
      </c>
      <c r="D5" s="82">
        <v>3</v>
      </c>
      <c r="E5" s="87">
        <v>6.1499999999999999E-2</v>
      </c>
    </row>
    <row r="6" spans="1:6">
      <c r="A6" s="82" t="s">
        <v>89</v>
      </c>
      <c r="B6" s="87">
        <v>3.5000000000000003E-2</v>
      </c>
      <c r="D6" s="82">
        <v>5</v>
      </c>
      <c r="E6" s="87">
        <v>6.4000000000000001E-2</v>
      </c>
    </row>
    <row r="7" spans="1:6">
      <c r="A7" s="82" t="s">
        <v>90</v>
      </c>
      <c r="B7" s="96">
        <f>B4*0.8</f>
        <v>2.2400000000000003E-2</v>
      </c>
      <c r="D7" s="82" t="s">
        <v>81</v>
      </c>
      <c r="E7" s="87">
        <v>6.5500000000000003E-2</v>
      </c>
    </row>
    <row r="8" spans="1:6">
      <c r="A8" s="82" t="s">
        <v>91</v>
      </c>
      <c r="B8" s="96">
        <f>B5*0.8</f>
        <v>1.7600000000000001E-2</v>
      </c>
    </row>
    <row r="9" spans="1:6">
      <c r="A9" s="82" t="s">
        <v>92</v>
      </c>
      <c r="B9" s="96">
        <f>B6*0.8</f>
        <v>2.8000000000000004E-2</v>
      </c>
    </row>
    <row r="10" spans="1:6">
      <c r="A10" s="82" t="s">
        <v>76</v>
      </c>
      <c r="B10" s="87">
        <v>0</v>
      </c>
      <c r="D10" s="95" t="s">
        <v>94</v>
      </c>
    </row>
    <row r="11" spans="1:6">
      <c r="A11" s="82" t="s">
        <v>77</v>
      </c>
      <c r="B11" s="87">
        <v>2.1000000000000001E-2</v>
      </c>
    </row>
    <row r="12" spans="1:6">
      <c r="A12" s="82" t="s">
        <v>78</v>
      </c>
      <c r="B12" s="87">
        <v>2.3E-2</v>
      </c>
    </row>
    <row r="13" spans="1:6">
      <c r="A13" s="82" t="s">
        <v>98</v>
      </c>
      <c r="B13" s="87">
        <v>2.5000000000000001E-2</v>
      </c>
      <c r="D13" s="110" t="s">
        <v>122</v>
      </c>
      <c r="E13" s="172">
        <f>IF(正常测算!E5&lt;=0.5,产品成本表!E3,IF(正常测算!E5&lt;=1,产品成本表!E4,IF(正常测算!E5&lt;=3,产品成本表!E5,IF(正常测算!E5&lt;=5,产品成本表!E6,产品成本表!E7))))</f>
        <v>0.06</v>
      </c>
    </row>
    <row r="14" spans="1:6">
      <c r="A14" s="82" t="s">
        <v>97</v>
      </c>
      <c r="B14" s="87">
        <v>0.03</v>
      </c>
    </row>
    <row r="15" spans="1:6">
      <c r="A15" s="82" t="s">
        <v>73</v>
      </c>
      <c r="B15" s="86">
        <f>B3*0.8</f>
        <v>4.8000000000000001E-2</v>
      </c>
    </row>
    <row r="16" spans="1:6">
      <c r="A16" s="82" t="s">
        <v>74</v>
      </c>
      <c r="B16" s="86">
        <f>B3*0.8</f>
        <v>4.8000000000000001E-2</v>
      </c>
    </row>
    <row r="17" spans="1:9">
      <c r="A17" s="82" t="s">
        <v>136</v>
      </c>
      <c r="B17" s="87">
        <v>0.03</v>
      </c>
    </row>
    <row r="18" spans="1:9" ht="18.75">
      <c r="A18" s="80" t="s">
        <v>83</v>
      </c>
    </row>
    <row r="19" spans="1:9" ht="18" customHeight="1">
      <c r="A19" s="82" t="str">
        <f>指标还原!H1</f>
        <v>人民币电汇</v>
      </c>
      <c r="B19" s="86">
        <f>VLOOKUP(A19,A3:B17,2,FALSE)</f>
        <v>0.06</v>
      </c>
    </row>
    <row r="21" spans="1:9" ht="18.75">
      <c r="A21" s="80" t="s">
        <v>84</v>
      </c>
    </row>
    <row r="22" spans="1:9">
      <c r="A22" s="82" t="s">
        <v>29</v>
      </c>
    </row>
    <row r="23" spans="1:9">
      <c r="A23" s="83">
        <f>正常测算!E10</f>
        <v>42154</v>
      </c>
      <c r="B23" s="82" t="s">
        <v>62</v>
      </c>
      <c r="C23" s="82" t="s">
        <v>85</v>
      </c>
      <c r="D23" s="82" t="s">
        <v>95</v>
      </c>
      <c r="E23" s="82" t="s">
        <v>96</v>
      </c>
      <c r="F23" s="82" t="s">
        <v>87</v>
      </c>
      <c r="G23" s="82" t="s">
        <v>86</v>
      </c>
    </row>
    <row r="24" spans="1:9">
      <c r="B24" s="84">
        <f>指标还原!S11</f>
        <v>42154</v>
      </c>
      <c r="C24" s="85">
        <f>IF(正常测算!L2=1,"0",0)</f>
        <v>0</v>
      </c>
      <c r="D24" s="85">
        <f>IF(正常测算!L2=1,"0",C24)</f>
        <v>0</v>
      </c>
      <c r="E24" s="108" t="str">
        <f>IF(正常测算!$H$1="人民币电汇","0.00",IF(正常测算!L2=1,"0",D24*($B$3-$B$19)*((B24-A23)/360)))</f>
        <v>0.00</v>
      </c>
      <c r="F24" s="85"/>
      <c r="G24" s="89"/>
    </row>
    <row r="25" spans="1:9">
      <c r="B25" s="84">
        <f>指标还原!S12</f>
        <v>42154</v>
      </c>
      <c r="C25" s="85">
        <f>正常测算!H12</f>
        <v>0</v>
      </c>
      <c r="D25" s="85">
        <f>C25+D24</f>
        <v>0</v>
      </c>
      <c r="E25" s="108" t="str">
        <f>IF(正常测算!$H$1="人民币电汇","0.00",IF(ISNUMBER(D25*($B$19)*(B25-$A$23)/360),D25*($B$19)*(B25-$A$23)/360,0))</f>
        <v>0.00</v>
      </c>
      <c r="F25" s="85">
        <f>指标还原!I12</f>
        <v>100000000</v>
      </c>
      <c r="G25" s="85">
        <f>IF(ISNUMBER(F25*(B25-$A$23)/360*($B$3-$B$19)),F25*(B25-$A$23)/360*($B$3-$B$19),0)</f>
        <v>0</v>
      </c>
    </row>
    <row r="26" spans="1:9">
      <c r="B26" s="84">
        <f>指标还原!S13</f>
        <v>42338</v>
      </c>
      <c r="C26" s="85">
        <f>正常测算!H13</f>
        <v>0</v>
      </c>
      <c r="D26" s="85">
        <f t="shared" ref="D26:D31" si="0">C26+D25</f>
        <v>0</v>
      </c>
      <c r="E26" s="108" t="str">
        <f>IF(正常测算!$H$1="人民币电汇","0.00",IF(ISNUMBER(D25*$B$19*(B26-B25)/360),D25*$B$19*(B26-B25)/360,0))</f>
        <v>0.00</v>
      </c>
      <c r="F26" s="85">
        <f>指标还原!I13</f>
        <v>106077923.59</v>
      </c>
      <c r="G26" s="85">
        <f t="shared" ref="G26:G57" si="1">IF(ISNUMBER(F25*(B26-B25)/360*($B$3-$B$19)),F25*(B26-B25)/360*($B$3-$B$19),0)</f>
        <v>0</v>
      </c>
    </row>
    <row r="27" spans="1:9">
      <c r="B27" s="84">
        <f>指标还原!S14</f>
        <v>42520</v>
      </c>
      <c r="C27" s="85">
        <f>正常测算!H14</f>
        <v>0</v>
      </c>
      <c r="D27" s="85">
        <f t="shared" si="0"/>
        <v>0</v>
      </c>
      <c r="E27" s="108" t="str">
        <f>IF(正常测算!$H$1="人民币电汇","0.00",IF(ISNUMBER(D26*$B$19*(B27-B26)/360),D26*$B$19*(B27-B26)/360,0))</f>
        <v>0.00</v>
      </c>
      <c r="F27" s="85" t="str">
        <f>指标还原!I14</f>
        <v/>
      </c>
      <c r="G27" s="85">
        <f>IF(ISNUMBER(F26*(B27-B26)/360*($B$3-$B$19)),F26*(B27-B26)/360*($B$3-$B$19),0)</f>
        <v>0</v>
      </c>
    </row>
    <row r="28" spans="1:9">
      <c r="B28" s="84" t="str">
        <f>指标还原!S15</f>
        <v/>
      </c>
      <c r="C28" s="85">
        <f>正常测算!H15</f>
        <v>0</v>
      </c>
      <c r="D28" s="85">
        <f t="shared" si="0"/>
        <v>0</v>
      </c>
      <c r="E28" s="108" t="str">
        <f>IF(正常测算!$H$1="人民币电汇","0.00",IF(ISNUMBER(D27*$B$19*(B28-B27)/360),D27*$B$19*(B28-B27)/360,0))</f>
        <v>0.00</v>
      </c>
      <c r="F28" s="85" t="str">
        <f>指标还原!I15</f>
        <v/>
      </c>
      <c r="G28" s="85">
        <f t="shared" si="1"/>
        <v>0</v>
      </c>
    </row>
    <row r="29" spans="1:9">
      <c r="B29" s="84" t="str">
        <f>指标还原!S16</f>
        <v/>
      </c>
      <c r="C29" s="85">
        <f>正常测算!H16</f>
        <v>0</v>
      </c>
      <c r="D29" s="85">
        <f t="shared" si="0"/>
        <v>0</v>
      </c>
      <c r="E29" s="108" t="str">
        <f>IF(正常测算!$H$1="人民币电汇","0.00",IF(ISNUMBER(D28*$B$19*(B29-B28)/360),D28*$B$19*(B29-B28)/360,0))</f>
        <v>0.00</v>
      </c>
      <c r="F29" s="85" t="str">
        <f>指标还原!I16</f>
        <v/>
      </c>
      <c r="G29" s="85">
        <f t="shared" si="1"/>
        <v>0</v>
      </c>
    </row>
    <row r="30" spans="1:9">
      <c r="B30" s="84" t="str">
        <f>指标还原!S17</f>
        <v/>
      </c>
      <c r="C30" s="85">
        <f>正常测算!H17</f>
        <v>0</v>
      </c>
      <c r="D30" s="85">
        <f t="shared" si="0"/>
        <v>0</v>
      </c>
      <c r="E30" s="108" t="str">
        <f>IF(正常测算!$H$1="人民币电汇","0.00",IF(ISNUMBER(D29*$B$19*(B30-B29)/360),D29*$B$19*(B30-B29)/360,0))</f>
        <v>0.00</v>
      </c>
      <c r="F30" s="85" t="str">
        <f>指标还原!I17</f>
        <v/>
      </c>
      <c r="G30" s="85">
        <f t="shared" si="1"/>
        <v>0</v>
      </c>
    </row>
    <row r="31" spans="1:9">
      <c r="B31" s="84" t="str">
        <f>指标还原!S18</f>
        <v/>
      </c>
      <c r="C31" s="85">
        <f>正常测算!H18</f>
        <v>0</v>
      </c>
      <c r="D31" s="85">
        <f t="shared" si="0"/>
        <v>0</v>
      </c>
      <c r="E31" s="108" t="str">
        <f>IF(正常测算!$H$1="人民币电汇","0.00",IF(ISNUMBER(D30*$B$19*(B31-B30)/360),D30*$B$19*(B31-B30)/360,0))</f>
        <v>0.00</v>
      </c>
      <c r="F31" s="85" t="str">
        <f>指标还原!I18</f>
        <v/>
      </c>
      <c r="G31" s="85">
        <f t="shared" si="1"/>
        <v>0</v>
      </c>
    </row>
    <row r="32" spans="1:9">
      <c r="B32" s="84" t="str">
        <f>指标还原!S19</f>
        <v/>
      </c>
      <c r="C32" s="85">
        <f>正常测算!H19</f>
        <v>0</v>
      </c>
      <c r="D32" s="85">
        <f>C32+D31</f>
        <v>0</v>
      </c>
      <c r="E32" s="108" t="str">
        <f>IF(正常测算!$H$1="人民币电汇","0.00",IF(ISNUMBER(D31*$B$19*(B32-B31)/360),D31*$B$19*(B32-B31)/360,0))</f>
        <v>0.00</v>
      </c>
      <c r="F32" s="85" t="str">
        <f>指标还原!I19</f>
        <v/>
      </c>
      <c r="G32" s="85">
        <f t="shared" si="1"/>
        <v>0</v>
      </c>
      <c r="I32" s="79"/>
    </row>
    <row r="33" spans="2:7">
      <c r="B33" s="84" t="str">
        <f>指标还原!S20</f>
        <v/>
      </c>
      <c r="C33" s="85">
        <f>正常测算!H20</f>
        <v>0</v>
      </c>
      <c r="D33" s="85">
        <f t="shared" ref="D33:D96" si="2">C33+D32</f>
        <v>0</v>
      </c>
      <c r="E33" s="108" t="str">
        <f>IF(正常测算!$H$1="人民币电汇","0.00",IF(ISNUMBER(D32*$B$19*(B33-B32)/360),D32*$B$19*(B33-B32)/360,0))</f>
        <v>0.00</v>
      </c>
      <c r="F33" s="85" t="str">
        <f>指标还原!I20</f>
        <v/>
      </c>
      <c r="G33" s="85">
        <f t="shared" si="1"/>
        <v>0</v>
      </c>
    </row>
    <row r="34" spans="2:7">
      <c r="B34" s="84" t="str">
        <f>指标还原!S21</f>
        <v/>
      </c>
      <c r="C34" s="85">
        <f>正常测算!H21</f>
        <v>0</v>
      </c>
      <c r="D34" s="85">
        <f t="shared" si="2"/>
        <v>0</v>
      </c>
      <c r="E34" s="108" t="str">
        <f>IF(正常测算!$H$1="人民币电汇","0.00",IF(ISNUMBER(D33*$B$19*(B34-B33)/360),D33*$B$19*(B34-B33)/360,0))</f>
        <v>0.00</v>
      </c>
      <c r="F34" s="85" t="str">
        <f>指标还原!I21</f>
        <v/>
      </c>
      <c r="G34" s="85">
        <f t="shared" si="1"/>
        <v>0</v>
      </c>
    </row>
    <row r="35" spans="2:7">
      <c r="B35" s="84" t="str">
        <f>指标还原!S22</f>
        <v/>
      </c>
      <c r="C35" s="85">
        <f>正常测算!H22</f>
        <v>0</v>
      </c>
      <c r="D35" s="85">
        <f t="shared" si="2"/>
        <v>0</v>
      </c>
      <c r="E35" s="108" t="str">
        <f>IF(正常测算!$H$1="人民币电汇","0.00",IF(ISNUMBER(D34*$B$19*(B35-B34)/360),D34*$B$19*(B35-B34)/360,0))</f>
        <v>0.00</v>
      </c>
      <c r="F35" s="85" t="str">
        <f>指标还原!I22</f>
        <v/>
      </c>
      <c r="G35" s="85">
        <f t="shared" si="1"/>
        <v>0</v>
      </c>
    </row>
    <row r="36" spans="2:7">
      <c r="B36" s="84" t="str">
        <f>指标还原!S23</f>
        <v/>
      </c>
      <c r="C36" s="85">
        <f>正常测算!H23</f>
        <v>0</v>
      </c>
      <c r="D36" s="85">
        <f t="shared" si="2"/>
        <v>0</v>
      </c>
      <c r="E36" s="108" t="str">
        <f>IF(正常测算!$H$1="人民币电汇","0.00",IF(ISNUMBER(D35*$B$19*(B36-B35)/360),D35*$B$19*(B36-B35)/360,0))</f>
        <v>0.00</v>
      </c>
      <c r="F36" s="85" t="str">
        <f>指标还原!I23</f>
        <v/>
      </c>
      <c r="G36" s="85">
        <f t="shared" si="1"/>
        <v>0</v>
      </c>
    </row>
    <row r="37" spans="2:7">
      <c r="B37" s="84" t="str">
        <f>指标还原!S24</f>
        <v/>
      </c>
      <c r="C37" s="85">
        <f>正常测算!H24</f>
        <v>0</v>
      </c>
      <c r="D37" s="85">
        <f t="shared" si="2"/>
        <v>0</v>
      </c>
      <c r="E37" s="108" t="str">
        <f>IF(正常测算!$H$1="人民币电汇","0.00",IF(ISNUMBER(D36*$B$19*(B37-B36)/360),D36*$B$19*(B37-B36)/360,0))</f>
        <v>0.00</v>
      </c>
      <c r="F37" s="85" t="str">
        <f>指标还原!I24</f>
        <v/>
      </c>
      <c r="G37" s="85">
        <f t="shared" si="1"/>
        <v>0</v>
      </c>
    </row>
    <row r="38" spans="2:7">
      <c r="B38" s="84" t="str">
        <f>指标还原!S25</f>
        <v/>
      </c>
      <c r="C38" s="85">
        <f>正常测算!H25</f>
        <v>0</v>
      </c>
      <c r="D38" s="85">
        <f t="shared" si="2"/>
        <v>0</v>
      </c>
      <c r="E38" s="108" t="str">
        <f>IF(正常测算!$H$1="人民币电汇","0.00",IF(ISNUMBER(D37*$B$19*(B38-B37)/360),D37*$B$19*(B38-B37)/360,0))</f>
        <v>0.00</v>
      </c>
      <c r="F38" s="85" t="str">
        <f>指标还原!I25</f>
        <v/>
      </c>
      <c r="G38" s="85">
        <f t="shared" si="1"/>
        <v>0</v>
      </c>
    </row>
    <row r="39" spans="2:7">
      <c r="B39" s="84" t="str">
        <f>指标还原!S26</f>
        <v/>
      </c>
      <c r="C39" s="85">
        <f>正常测算!H26</f>
        <v>0</v>
      </c>
      <c r="D39" s="85">
        <f t="shared" si="2"/>
        <v>0</v>
      </c>
      <c r="E39" s="108" t="str">
        <f>IF(正常测算!$H$1="人民币电汇","0.00",IF(ISNUMBER(D38*$B$19*(B39-B38)/360),D38*$B$19*(B39-B38)/360,0))</f>
        <v>0.00</v>
      </c>
      <c r="F39" s="85" t="str">
        <f>指标还原!I26</f>
        <v/>
      </c>
      <c r="G39" s="85">
        <f t="shared" si="1"/>
        <v>0</v>
      </c>
    </row>
    <row r="40" spans="2:7">
      <c r="B40" s="84" t="str">
        <f>指标还原!S27</f>
        <v/>
      </c>
      <c r="C40" s="85">
        <f>正常测算!H27</f>
        <v>0</v>
      </c>
      <c r="D40" s="85">
        <f t="shared" si="2"/>
        <v>0</v>
      </c>
      <c r="E40" s="108" t="str">
        <f>IF(正常测算!$H$1="人民币电汇","0.00",IF(ISNUMBER(D39*$B$19*(B40-B39)/360),D39*$B$19*(B40-B39)/360,0))</f>
        <v>0.00</v>
      </c>
      <c r="F40" s="85" t="str">
        <f>指标还原!I27</f>
        <v/>
      </c>
      <c r="G40" s="85">
        <f t="shared" si="1"/>
        <v>0</v>
      </c>
    </row>
    <row r="41" spans="2:7">
      <c r="B41" s="84" t="str">
        <f>指标还原!S28</f>
        <v/>
      </c>
      <c r="C41" s="85">
        <f>正常测算!H28</f>
        <v>0</v>
      </c>
      <c r="D41" s="85">
        <f t="shared" si="2"/>
        <v>0</v>
      </c>
      <c r="E41" s="108" t="str">
        <f>IF(正常测算!$H$1="人民币电汇","0.00",IF(ISNUMBER(D40*$B$19*(B41-B40)/360),D40*$B$19*(B41-B40)/360,0))</f>
        <v>0.00</v>
      </c>
      <c r="F41" s="85" t="str">
        <f>指标还原!I28</f>
        <v/>
      </c>
      <c r="G41" s="85">
        <f t="shared" si="1"/>
        <v>0</v>
      </c>
    </row>
    <row r="42" spans="2:7">
      <c r="B42" s="84" t="str">
        <f>指标还原!S29</f>
        <v/>
      </c>
      <c r="C42" s="85">
        <f>正常测算!H29</f>
        <v>0</v>
      </c>
      <c r="D42" s="85">
        <f t="shared" si="2"/>
        <v>0</v>
      </c>
      <c r="E42" s="108" t="str">
        <f>IF(正常测算!$H$1="人民币电汇","0.00",IF(ISNUMBER(D41*$B$19*(B42-B41)/360),D41*$B$19*(B42-B41)/360,0))</f>
        <v>0.00</v>
      </c>
      <c r="F42" s="85" t="str">
        <f>指标还原!I29</f>
        <v/>
      </c>
      <c r="G42" s="85">
        <f t="shared" si="1"/>
        <v>0</v>
      </c>
    </row>
    <row r="43" spans="2:7">
      <c r="B43" s="84" t="str">
        <f>指标还原!S30</f>
        <v/>
      </c>
      <c r="C43" s="85">
        <f>正常测算!H30</f>
        <v>0</v>
      </c>
      <c r="D43" s="85">
        <f t="shared" si="2"/>
        <v>0</v>
      </c>
      <c r="E43" s="108" t="str">
        <f>IF(正常测算!$H$1="人民币电汇","0.00",IF(ISNUMBER(D42*$B$19*(B43-B42)/360),D42*$B$19*(B43-B42)/360,0))</f>
        <v>0.00</v>
      </c>
      <c r="F43" s="85" t="str">
        <f>指标还原!I30</f>
        <v/>
      </c>
      <c r="G43" s="85">
        <f t="shared" si="1"/>
        <v>0</v>
      </c>
    </row>
    <row r="44" spans="2:7">
      <c r="B44" s="84" t="str">
        <f>指标还原!S31</f>
        <v/>
      </c>
      <c r="C44" s="85">
        <f>正常测算!H31</f>
        <v>0</v>
      </c>
      <c r="D44" s="85">
        <f t="shared" si="2"/>
        <v>0</v>
      </c>
      <c r="E44" s="108" t="str">
        <f>IF(正常测算!$H$1="人民币电汇","0.00",IF(ISNUMBER(D43*$B$19*(B44-B43)/360),D43*$B$19*(B44-B43)/360,0))</f>
        <v>0.00</v>
      </c>
      <c r="F44" s="85" t="str">
        <f>指标还原!I31</f>
        <v/>
      </c>
      <c r="G44" s="85">
        <f t="shared" si="1"/>
        <v>0</v>
      </c>
    </row>
    <row r="45" spans="2:7">
      <c r="B45" s="84" t="str">
        <f>指标还原!S32</f>
        <v/>
      </c>
      <c r="C45" s="85">
        <f>正常测算!H32</f>
        <v>0</v>
      </c>
      <c r="D45" s="85">
        <f t="shared" si="2"/>
        <v>0</v>
      </c>
      <c r="E45" s="108" t="str">
        <f>IF(正常测算!$H$1="人民币电汇","0.00",IF(ISNUMBER(D44*$B$19*(B45-B44)/360),D44*$B$19*(B45-B44)/360,0))</f>
        <v>0.00</v>
      </c>
      <c r="F45" s="85" t="str">
        <f>指标还原!I32</f>
        <v/>
      </c>
      <c r="G45" s="85">
        <f t="shared" si="1"/>
        <v>0</v>
      </c>
    </row>
    <row r="46" spans="2:7">
      <c r="B46" s="84" t="str">
        <f>指标还原!S33</f>
        <v/>
      </c>
      <c r="C46" s="85">
        <f>正常测算!H33</f>
        <v>0</v>
      </c>
      <c r="D46" s="85">
        <f t="shared" si="2"/>
        <v>0</v>
      </c>
      <c r="E46" s="108" t="str">
        <f>IF(正常测算!$H$1="人民币电汇","0.00",IF(ISNUMBER(D45*$B$19*(B46-B45)/360),D45*$B$19*(B46-B45)/360,0))</f>
        <v>0.00</v>
      </c>
      <c r="F46" s="85" t="str">
        <f>指标还原!I33</f>
        <v/>
      </c>
      <c r="G46" s="85">
        <f t="shared" si="1"/>
        <v>0</v>
      </c>
    </row>
    <row r="47" spans="2:7">
      <c r="B47" s="84" t="str">
        <f>指标还原!S34</f>
        <v/>
      </c>
      <c r="C47" s="85">
        <f>正常测算!H34</f>
        <v>0</v>
      </c>
      <c r="D47" s="85">
        <f t="shared" si="2"/>
        <v>0</v>
      </c>
      <c r="E47" s="108" t="str">
        <f>IF(正常测算!$H$1="人民币电汇","0.00",IF(ISNUMBER(D46*$B$19*(B47-B46)/360),D46*$B$19*(B47-B46)/360,0))</f>
        <v>0.00</v>
      </c>
      <c r="F47" s="85" t="str">
        <f>指标还原!I34</f>
        <v/>
      </c>
      <c r="G47" s="85">
        <f t="shared" si="1"/>
        <v>0</v>
      </c>
    </row>
    <row r="48" spans="2:7">
      <c r="B48" s="84" t="str">
        <f>指标还原!S35</f>
        <v/>
      </c>
      <c r="C48" s="85">
        <f>正常测算!H35</f>
        <v>0</v>
      </c>
      <c r="D48" s="85">
        <f t="shared" si="2"/>
        <v>0</v>
      </c>
      <c r="E48" s="108" t="str">
        <f>IF(正常测算!$H$1="人民币电汇","0.00",IF(ISNUMBER(D47*$B$19*(B48-B47)/360),D47*$B$19*(B48-B47)/360,0))</f>
        <v>0.00</v>
      </c>
      <c r="F48" s="85" t="str">
        <f>指标还原!I35</f>
        <v/>
      </c>
      <c r="G48" s="85">
        <f t="shared" si="1"/>
        <v>0</v>
      </c>
    </row>
    <row r="49" spans="2:7">
      <c r="B49" s="84" t="str">
        <f>指标还原!S36</f>
        <v/>
      </c>
      <c r="C49" s="85">
        <f>正常测算!H36</f>
        <v>0</v>
      </c>
      <c r="D49" s="85">
        <f t="shared" si="2"/>
        <v>0</v>
      </c>
      <c r="E49" s="108" t="str">
        <f>IF(正常测算!$H$1="人民币电汇","0.00",IF(ISNUMBER(D48*$B$19*(B49-B48)/360),D48*$B$19*(B49-B48)/360,0))</f>
        <v>0.00</v>
      </c>
      <c r="F49" s="85" t="str">
        <f>指标还原!I36</f>
        <v/>
      </c>
      <c r="G49" s="85">
        <f t="shared" si="1"/>
        <v>0</v>
      </c>
    </row>
    <row r="50" spans="2:7">
      <c r="B50" s="84" t="str">
        <f>指标还原!S37</f>
        <v/>
      </c>
      <c r="C50" s="85">
        <f>正常测算!H37</f>
        <v>0</v>
      </c>
      <c r="D50" s="85">
        <f t="shared" si="2"/>
        <v>0</v>
      </c>
      <c r="E50" s="108" t="str">
        <f>IF(正常测算!$H$1="人民币电汇","0.00",IF(ISNUMBER(D49*$B$19*(B50-B49)/360),D49*$B$19*(B50-B49)/360,0))</f>
        <v>0.00</v>
      </c>
      <c r="F50" s="85" t="str">
        <f>指标还原!I37</f>
        <v/>
      </c>
      <c r="G50" s="85">
        <f t="shared" si="1"/>
        <v>0</v>
      </c>
    </row>
    <row r="51" spans="2:7">
      <c r="B51" s="84" t="str">
        <f>指标还原!S38</f>
        <v/>
      </c>
      <c r="C51" s="85">
        <f>正常测算!H38</f>
        <v>0</v>
      </c>
      <c r="D51" s="85">
        <f t="shared" si="2"/>
        <v>0</v>
      </c>
      <c r="E51" s="108" t="str">
        <f>IF(正常测算!$H$1="人民币电汇","0.00",IF(ISNUMBER(D50*$B$19*(B51-B50)/360),D50*$B$19*(B51-B50)/360,0))</f>
        <v>0.00</v>
      </c>
      <c r="F51" s="85" t="str">
        <f>指标还原!I38</f>
        <v/>
      </c>
      <c r="G51" s="85">
        <f t="shared" si="1"/>
        <v>0</v>
      </c>
    </row>
    <row r="52" spans="2:7">
      <c r="B52" s="84" t="str">
        <f>指标还原!S39</f>
        <v/>
      </c>
      <c r="C52" s="85">
        <f>正常测算!H39</f>
        <v>0</v>
      </c>
      <c r="D52" s="85">
        <f t="shared" si="2"/>
        <v>0</v>
      </c>
      <c r="E52" s="108" t="str">
        <f>IF(正常测算!$H$1="人民币电汇","0.00",IF(ISNUMBER(D51*$B$19*(B52-B51)/360),D51*$B$19*(B52-B51)/360,0))</f>
        <v>0.00</v>
      </c>
      <c r="F52" s="85" t="str">
        <f>指标还原!I39</f>
        <v/>
      </c>
      <c r="G52" s="85">
        <f t="shared" si="1"/>
        <v>0</v>
      </c>
    </row>
    <row r="53" spans="2:7">
      <c r="B53" s="84" t="str">
        <f>指标还原!S40</f>
        <v/>
      </c>
      <c r="C53" s="85">
        <f>正常测算!H40</f>
        <v>0</v>
      </c>
      <c r="D53" s="85">
        <f t="shared" si="2"/>
        <v>0</v>
      </c>
      <c r="E53" s="108" t="str">
        <f>IF(正常测算!$H$1="人民币电汇","0.00",IF(ISNUMBER(D52*$B$19*(B53-B52)/360),D52*$B$19*(B53-B52)/360,0))</f>
        <v>0.00</v>
      </c>
      <c r="F53" s="85" t="str">
        <f>指标还原!I40</f>
        <v/>
      </c>
      <c r="G53" s="85">
        <f t="shared" si="1"/>
        <v>0</v>
      </c>
    </row>
    <row r="54" spans="2:7">
      <c r="B54" s="84" t="str">
        <f>指标还原!S41</f>
        <v/>
      </c>
      <c r="C54" s="85">
        <f>正常测算!H41</f>
        <v>0</v>
      </c>
      <c r="D54" s="85">
        <f t="shared" si="2"/>
        <v>0</v>
      </c>
      <c r="E54" s="108" t="str">
        <f>IF(正常测算!$H$1="人民币电汇","0.00",IF(ISNUMBER(D53*$B$19*(B54-B53)/360),D53*$B$19*(B54-B53)/360,0))</f>
        <v>0.00</v>
      </c>
      <c r="F54" s="85" t="str">
        <f>指标还原!I41</f>
        <v/>
      </c>
      <c r="G54" s="85">
        <f t="shared" si="1"/>
        <v>0</v>
      </c>
    </row>
    <row r="55" spans="2:7">
      <c r="B55" s="84" t="str">
        <f>指标还原!S42</f>
        <v/>
      </c>
      <c r="C55" s="85">
        <f>正常测算!H42</f>
        <v>0</v>
      </c>
      <c r="D55" s="85">
        <f t="shared" si="2"/>
        <v>0</v>
      </c>
      <c r="E55" s="108" t="str">
        <f>IF(正常测算!$H$1="人民币电汇","0.00",IF(ISNUMBER(D54*$B$19*(B55-B54)/360),D54*$B$19*(B55-B54)/360,0))</f>
        <v>0.00</v>
      </c>
      <c r="F55" s="85" t="str">
        <f>指标还原!I42</f>
        <v/>
      </c>
      <c r="G55" s="85">
        <f t="shared" si="1"/>
        <v>0</v>
      </c>
    </row>
    <row r="56" spans="2:7">
      <c r="B56" s="84" t="str">
        <f>指标还原!S43</f>
        <v/>
      </c>
      <c r="C56" s="85">
        <f>正常测算!H43</f>
        <v>0</v>
      </c>
      <c r="D56" s="85">
        <f t="shared" si="2"/>
        <v>0</v>
      </c>
      <c r="E56" s="108" t="str">
        <f>IF(正常测算!$H$1="人民币电汇","0.00",IF(ISNUMBER(D55*$B$19*(B56-B55)/360),D55*$B$19*(B56-B55)/360,0))</f>
        <v>0.00</v>
      </c>
      <c r="F56" s="85" t="str">
        <f>指标还原!I43</f>
        <v/>
      </c>
      <c r="G56" s="85">
        <f t="shared" si="1"/>
        <v>0</v>
      </c>
    </row>
    <row r="57" spans="2:7">
      <c r="B57" s="84" t="str">
        <f>指标还原!S44</f>
        <v/>
      </c>
      <c r="C57" s="85">
        <f>正常测算!H44</f>
        <v>0</v>
      </c>
      <c r="D57" s="85">
        <f t="shared" si="2"/>
        <v>0</v>
      </c>
      <c r="E57" s="108" t="str">
        <f>IF(正常测算!$H$1="人民币电汇","0.00",IF(ISNUMBER(D56*$B$19*(B57-B56)/360),D56*$B$19*(B57-B56)/360,0))</f>
        <v>0.00</v>
      </c>
      <c r="F57" s="85" t="str">
        <f>指标还原!I44</f>
        <v/>
      </c>
      <c r="G57" s="85">
        <f t="shared" si="1"/>
        <v>0</v>
      </c>
    </row>
    <row r="58" spans="2:7">
      <c r="B58" s="84" t="str">
        <f>指标还原!S45</f>
        <v/>
      </c>
      <c r="C58" s="85">
        <f>正常测算!H45</f>
        <v>0</v>
      </c>
      <c r="D58" s="85">
        <f t="shared" si="2"/>
        <v>0</v>
      </c>
      <c r="E58" s="108" t="str">
        <f>IF(正常测算!$H$1="人民币电汇","0.00",IF(ISNUMBER(D57*$B$19*(B58-B57)/360),D57*$B$19*(B58-B57)/360,0))</f>
        <v>0.00</v>
      </c>
      <c r="F58" s="85" t="str">
        <f>指标还原!I45</f>
        <v/>
      </c>
      <c r="G58" s="85">
        <f t="shared" ref="G58:G89" si="3">IF(ISNUMBER(F57*(B58-B57)/360*($B$3-$B$19)),F57*(B58-B57)/360*($B$3-$B$19),0)</f>
        <v>0</v>
      </c>
    </row>
    <row r="59" spans="2:7">
      <c r="B59" s="84" t="str">
        <f>指标还原!S46</f>
        <v/>
      </c>
      <c r="C59" s="85">
        <f>正常测算!H46</f>
        <v>0</v>
      </c>
      <c r="D59" s="85">
        <f t="shared" si="2"/>
        <v>0</v>
      </c>
      <c r="E59" s="108" t="str">
        <f>IF(正常测算!$H$1="人民币电汇","0.00",IF(ISNUMBER(D58*$B$19*(B59-B58)/360),D58*$B$19*(B59-B58)/360,0))</f>
        <v>0.00</v>
      </c>
      <c r="F59" s="85" t="str">
        <f>指标还原!I46</f>
        <v/>
      </c>
      <c r="G59" s="85">
        <f t="shared" si="3"/>
        <v>0</v>
      </c>
    </row>
    <row r="60" spans="2:7">
      <c r="B60" s="84" t="str">
        <f>指标还原!S47</f>
        <v/>
      </c>
      <c r="C60" s="85">
        <f>正常测算!H47</f>
        <v>0</v>
      </c>
      <c r="D60" s="85">
        <f t="shared" si="2"/>
        <v>0</v>
      </c>
      <c r="E60" s="108" t="str">
        <f>IF(正常测算!$H$1="人民币电汇","0.00",IF(ISNUMBER(D59*$B$19*(B60-B59)/360),D59*$B$19*(B60-B59)/360,0))</f>
        <v>0.00</v>
      </c>
      <c r="F60" s="85" t="str">
        <f>指标还原!I47</f>
        <v/>
      </c>
      <c r="G60" s="85">
        <f t="shared" si="3"/>
        <v>0</v>
      </c>
    </row>
    <row r="61" spans="2:7">
      <c r="B61" s="84" t="str">
        <f>指标还原!S48</f>
        <v/>
      </c>
      <c r="C61" s="85">
        <f>正常测算!H48</f>
        <v>0</v>
      </c>
      <c r="D61" s="85">
        <f t="shared" si="2"/>
        <v>0</v>
      </c>
      <c r="E61" s="108" t="str">
        <f>IF(正常测算!$H$1="人民币电汇","0.00",IF(ISNUMBER(D60*$B$19*(B61-B60)/360),D60*$B$19*(B61-B60)/360,0))</f>
        <v>0.00</v>
      </c>
      <c r="F61" s="85" t="str">
        <f>指标还原!I48</f>
        <v/>
      </c>
      <c r="G61" s="85">
        <f t="shared" si="3"/>
        <v>0</v>
      </c>
    </row>
    <row r="62" spans="2:7">
      <c r="B62" s="84" t="str">
        <f>指标还原!S49</f>
        <v/>
      </c>
      <c r="C62" s="85">
        <f>正常测算!H49</f>
        <v>0</v>
      </c>
      <c r="D62" s="85">
        <f t="shared" si="2"/>
        <v>0</v>
      </c>
      <c r="E62" s="108" t="str">
        <f>IF(正常测算!$H$1="人民币电汇","0.00",IF(ISNUMBER(D61*$B$19*(B62-B61)/360),D61*$B$19*(B62-B61)/360,0))</f>
        <v>0.00</v>
      </c>
      <c r="F62" s="85" t="str">
        <f>指标还原!I49</f>
        <v/>
      </c>
      <c r="G62" s="85">
        <f t="shared" si="3"/>
        <v>0</v>
      </c>
    </row>
    <row r="63" spans="2:7">
      <c r="B63" s="84" t="str">
        <f>指标还原!S50</f>
        <v/>
      </c>
      <c r="C63" s="85">
        <f>正常测算!H50</f>
        <v>0</v>
      </c>
      <c r="D63" s="85">
        <f t="shared" si="2"/>
        <v>0</v>
      </c>
      <c r="E63" s="108" t="str">
        <f>IF(正常测算!$H$1="人民币电汇","0.00",IF(ISNUMBER(D62*$B$19*(B63-B62)/360),D62*$B$19*(B63-B62)/360,0))</f>
        <v>0.00</v>
      </c>
      <c r="F63" s="85" t="str">
        <f>指标还原!I50</f>
        <v/>
      </c>
      <c r="G63" s="85">
        <f t="shared" si="3"/>
        <v>0</v>
      </c>
    </row>
    <row r="64" spans="2:7">
      <c r="B64" s="84" t="str">
        <f>指标还原!S51</f>
        <v/>
      </c>
      <c r="C64" s="85">
        <f>正常测算!H51</f>
        <v>0</v>
      </c>
      <c r="D64" s="85">
        <f t="shared" si="2"/>
        <v>0</v>
      </c>
      <c r="E64" s="108" t="str">
        <f>IF(正常测算!$H$1="人民币电汇","0.00",IF(ISNUMBER(D63*$B$19*(B64-B63)/360),D63*$B$19*(B64-B63)/360,0))</f>
        <v>0.00</v>
      </c>
      <c r="F64" s="85" t="str">
        <f>指标还原!I51</f>
        <v/>
      </c>
      <c r="G64" s="85">
        <f t="shared" si="3"/>
        <v>0</v>
      </c>
    </row>
    <row r="65" spans="2:7">
      <c r="B65" s="84" t="str">
        <f>指标还原!S52</f>
        <v/>
      </c>
      <c r="C65" s="85">
        <f>正常测算!H52</f>
        <v>0</v>
      </c>
      <c r="D65" s="85">
        <f t="shared" si="2"/>
        <v>0</v>
      </c>
      <c r="E65" s="108" t="str">
        <f>IF(正常测算!$H$1="人民币电汇","0.00",IF(ISNUMBER(D64*$B$19*(B65-B64)/360),D64*$B$19*(B65-B64)/360,0))</f>
        <v>0.00</v>
      </c>
      <c r="F65" s="85" t="str">
        <f>指标还原!I52</f>
        <v/>
      </c>
      <c r="G65" s="85">
        <f t="shared" si="3"/>
        <v>0</v>
      </c>
    </row>
    <row r="66" spans="2:7">
      <c r="B66" s="84" t="str">
        <f>指标还原!S53</f>
        <v/>
      </c>
      <c r="C66" s="85">
        <f>正常测算!H53</f>
        <v>0</v>
      </c>
      <c r="D66" s="85">
        <f t="shared" si="2"/>
        <v>0</v>
      </c>
      <c r="E66" s="108" t="str">
        <f>IF(正常测算!$H$1="人民币电汇","0.00",IF(ISNUMBER(D65*$B$19*(B66-B65)/360),D65*$B$19*(B66-B65)/360,0))</f>
        <v>0.00</v>
      </c>
      <c r="F66" s="85" t="str">
        <f>指标还原!I53</f>
        <v/>
      </c>
      <c r="G66" s="85">
        <f t="shared" si="3"/>
        <v>0</v>
      </c>
    </row>
    <row r="67" spans="2:7">
      <c r="B67" s="84" t="str">
        <f>指标还原!S54</f>
        <v/>
      </c>
      <c r="C67" s="85">
        <f>正常测算!H54</f>
        <v>0</v>
      </c>
      <c r="D67" s="85">
        <f t="shared" si="2"/>
        <v>0</v>
      </c>
      <c r="E67" s="108" t="str">
        <f>IF(正常测算!$H$1="人民币电汇","0.00",IF(ISNUMBER(D66*$B$19*(B67-B66)/360),D66*$B$19*(B67-B66)/360,0))</f>
        <v>0.00</v>
      </c>
      <c r="F67" s="85" t="str">
        <f>指标还原!I54</f>
        <v/>
      </c>
      <c r="G67" s="85">
        <f t="shared" si="3"/>
        <v>0</v>
      </c>
    </row>
    <row r="68" spans="2:7">
      <c r="B68" s="84" t="str">
        <f>指标还原!S55</f>
        <v/>
      </c>
      <c r="C68" s="85">
        <f>正常测算!H55</f>
        <v>0</v>
      </c>
      <c r="D68" s="85">
        <f t="shared" si="2"/>
        <v>0</v>
      </c>
      <c r="E68" s="108" t="str">
        <f>IF(正常测算!$H$1="人民币电汇","0.00",IF(ISNUMBER(D67*$B$19*(B68-B67)/360),D67*$B$19*(B68-B67)/360,0))</f>
        <v>0.00</v>
      </c>
      <c r="F68" s="85" t="str">
        <f>指标还原!I55</f>
        <v/>
      </c>
      <c r="G68" s="85">
        <f t="shared" si="3"/>
        <v>0</v>
      </c>
    </row>
    <row r="69" spans="2:7">
      <c r="B69" s="84" t="str">
        <f>指标还原!S56</f>
        <v/>
      </c>
      <c r="C69" s="85">
        <f>正常测算!H56</f>
        <v>0</v>
      </c>
      <c r="D69" s="85">
        <f t="shared" si="2"/>
        <v>0</v>
      </c>
      <c r="E69" s="108" t="str">
        <f>IF(正常测算!$H$1="人民币电汇","0.00",IF(ISNUMBER(D68*$B$19*(B69-B68)/360),D68*$B$19*(B69-B68)/360,0))</f>
        <v>0.00</v>
      </c>
      <c r="F69" s="85" t="str">
        <f>指标还原!I56</f>
        <v/>
      </c>
      <c r="G69" s="85">
        <f t="shared" si="3"/>
        <v>0</v>
      </c>
    </row>
    <row r="70" spans="2:7">
      <c r="B70" s="84" t="str">
        <f>指标还原!S57</f>
        <v/>
      </c>
      <c r="C70" s="85">
        <f>正常测算!H57</f>
        <v>0</v>
      </c>
      <c r="D70" s="85">
        <f t="shared" si="2"/>
        <v>0</v>
      </c>
      <c r="E70" s="108" t="str">
        <f>IF(正常测算!$H$1="人民币电汇","0.00",IF(ISNUMBER(D69*$B$19*(B70-B69)/360),D69*$B$19*(B70-B69)/360,0))</f>
        <v>0.00</v>
      </c>
      <c r="F70" s="85" t="str">
        <f>指标还原!I57</f>
        <v/>
      </c>
      <c r="G70" s="85">
        <f t="shared" si="3"/>
        <v>0</v>
      </c>
    </row>
    <row r="71" spans="2:7">
      <c r="B71" s="84" t="str">
        <f>指标还原!S58</f>
        <v/>
      </c>
      <c r="C71" s="85">
        <f>正常测算!H58</f>
        <v>0</v>
      </c>
      <c r="D71" s="85">
        <f t="shared" si="2"/>
        <v>0</v>
      </c>
      <c r="E71" s="108" t="str">
        <f>IF(正常测算!$H$1="人民币电汇","0.00",IF(ISNUMBER(D70*$B$19*(B71-B70)/360),D70*$B$19*(B71-B70)/360,0))</f>
        <v>0.00</v>
      </c>
      <c r="F71" s="85" t="str">
        <f>指标还原!I58</f>
        <v/>
      </c>
      <c r="G71" s="85">
        <f t="shared" si="3"/>
        <v>0</v>
      </c>
    </row>
    <row r="72" spans="2:7">
      <c r="B72" s="84" t="str">
        <f>指标还原!S59</f>
        <v/>
      </c>
      <c r="C72" s="85">
        <f>正常测算!H59</f>
        <v>0</v>
      </c>
      <c r="D72" s="85">
        <f t="shared" si="2"/>
        <v>0</v>
      </c>
      <c r="E72" s="108" t="str">
        <f>IF(正常测算!$H$1="人民币电汇","0.00",IF(ISNUMBER(D71*$B$19*(B72-B71)/360),D71*$B$19*(B72-B71)/360,0))</f>
        <v>0.00</v>
      </c>
      <c r="F72" s="85" t="str">
        <f>指标还原!I59</f>
        <v/>
      </c>
      <c r="G72" s="85">
        <f t="shared" si="3"/>
        <v>0</v>
      </c>
    </row>
    <row r="73" spans="2:7">
      <c r="B73" s="84" t="str">
        <f>指标还原!S60</f>
        <v/>
      </c>
      <c r="C73" s="85">
        <f>正常测算!H60</f>
        <v>0</v>
      </c>
      <c r="D73" s="85">
        <f t="shared" si="2"/>
        <v>0</v>
      </c>
      <c r="E73" s="108" t="str">
        <f>IF(正常测算!$H$1="人民币电汇","0.00",IF(ISNUMBER(D72*$B$19*(B73-B72)/360),D72*$B$19*(B73-B72)/360,0))</f>
        <v>0.00</v>
      </c>
      <c r="F73" s="85" t="str">
        <f>指标还原!I60</f>
        <v/>
      </c>
      <c r="G73" s="85">
        <f t="shared" si="3"/>
        <v>0</v>
      </c>
    </row>
    <row r="74" spans="2:7">
      <c r="B74" s="84" t="str">
        <f>指标还原!S61</f>
        <v/>
      </c>
      <c r="C74" s="85">
        <f>正常测算!H61</f>
        <v>0</v>
      </c>
      <c r="D74" s="85">
        <f t="shared" si="2"/>
        <v>0</v>
      </c>
      <c r="E74" s="108" t="str">
        <f>IF(正常测算!$H$1="人民币电汇","0.00",IF(ISNUMBER(D73*$B$19*(B74-B73)/360),D73*$B$19*(B74-B73)/360,0))</f>
        <v>0.00</v>
      </c>
      <c r="F74" s="85" t="str">
        <f>指标还原!I61</f>
        <v/>
      </c>
      <c r="G74" s="85">
        <f t="shared" si="3"/>
        <v>0</v>
      </c>
    </row>
    <row r="75" spans="2:7">
      <c r="B75" s="84" t="str">
        <f>指标还原!S62</f>
        <v/>
      </c>
      <c r="C75" s="85">
        <f>正常测算!H62</f>
        <v>0</v>
      </c>
      <c r="D75" s="85">
        <f t="shared" si="2"/>
        <v>0</v>
      </c>
      <c r="E75" s="108" t="str">
        <f>IF(正常测算!$H$1="人民币电汇","0.00",IF(ISNUMBER(D74*$B$19*(B75-B74)/360),D74*$B$19*(B75-B74)/360,0))</f>
        <v>0.00</v>
      </c>
      <c r="F75" s="85" t="str">
        <f>指标还原!I62</f>
        <v/>
      </c>
      <c r="G75" s="85">
        <f t="shared" si="3"/>
        <v>0</v>
      </c>
    </row>
    <row r="76" spans="2:7">
      <c r="B76" s="84" t="str">
        <f>指标还原!S63</f>
        <v/>
      </c>
      <c r="C76" s="85">
        <f>正常测算!H63</f>
        <v>0</v>
      </c>
      <c r="D76" s="85">
        <f t="shared" si="2"/>
        <v>0</v>
      </c>
      <c r="E76" s="108" t="str">
        <f>IF(正常测算!$H$1="人民币电汇","0.00",IF(ISNUMBER(D75*$B$19*(B76-B75)/360),D75*$B$19*(B76-B75)/360,0))</f>
        <v>0.00</v>
      </c>
      <c r="F76" s="85" t="str">
        <f>指标还原!I63</f>
        <v/>
      </c>
      <c r="G76" s="85">
        <f t="shared" si="3"/>
        <v>0</v>
      </c>
    </row>
    <row r="77" spans="2:7">
      <c r="B77" s="84" t="str">
        <f>指标还原!S64</f>
        <v/>
      </c>
      <c r="C77" s="85">
        <f>正常测算!H64</f>
        <v>0</v>
      </c>
      <c r="D77" s="85">
        <f t="shared" si="2"/>
        <v>0</v>
      </c>
      <c r="E77" s="108" t="str">
        <f>IF(正常测算!$H$1="人民币电汇","0.00",IF(ISNUMBER(D76*$B$19*(B77-B76)/360),D76*$B$19*(B77-B76)/360,0))</f>
        <v>0.00</v>
      </c>
      <c r="F77" s="85" t="str">
        <f>指标还原!I64</f>
        <v/>
      </c>
      <c r="G77" s="85">
        <f t="shared" si="3"/>
        <v>0</v>
      </c>
    </row>
    <row r="78" spans="2:7">
      <c r="B78" s="84" t="str">
        <f>指标还原!S65</f>
        <v/>
      </c>
      <c r="C78" s="85">
        <f>正常测算!H65</f>
        <v>0</v>
      </c>
      <c r="D78" s="85">
        <f t="shared" si="2"/>
        <v>0</v>
      </c>
      <c r="E78" s="108" t="str">
        <f>IF(正常测算!$H$1="人民币电汇","0.00",IF(ISNUMBER(D77*$B$19*(B78-B77)/360),D77*$B$19*(B78-B77)/360,0))</f>
        <v>0.00</v>
      </c>
      <c r="F78" s="85" t="str">
        <f>指标还原!I65</f>
        <v/>
      </c>
      <c r="G78" s="85">
        <f t="shared" si="3"/>
        <v>0</v>
      </c>
    </row>
    <row r="79" spans="2:7">
      <c r="B79" s="84" t="str">
        <f>指标还原!S66</f>
        <v/>
      </c>
      <c r="C79" s="85">
        <f>正常测算!H66</f>
        <v>0</v>
      </c>
      <c r="D79" s="85">
        <f t="shared" si="2"/>
        <v>0</v>
      </c>
      <c r="E79" s="108" t="str">
        <f>IF(正常测算!$H$1="人民币电汇","0.00",IF(ISNUMBER(D78*$B$19*(B79-B78)/360),D78*$B$19*(B79-B78)/360,0))</f>
        <v>0.00</v>
      </c>
      <c r="F79" s="85" t="str">
        <f>指标还原!I66</f>
        <v/>
      </c>
      <c r="G79" s="85">
        <f t="shared" si="3"/>
        <v>0</v>
      </c>
    </row>
    <row r="80" spans="2:7">
      <c r="B80" s="84" t="str">
        <f>指标还原!S67</f>
        <v/>
      </c>
      <c r="C80" s="85">
        <f>正常测算!H67</f>
        <v>0</v>
      </c>
      <c r="D80" s="85">
        <f t="shared" si="2"/>
        <v>0</v>
      </c>
      <c r="E80" s="108" t="str">
        <f>IF(正常测算!$H$1="人民币电汇","0.00",IF(ISNUMBER(D79*$B$19*(B80-B79)/360),D79*$B$19*(B80-B79)/360,0))</f>
        <v>0.00</v>
      </c>
      <c r="F80" s="85" t="str">
        <f>指标还原!I67</f>
        <v/>
      </c>
      <c r="G80" s="85">
        <f t="shared" si="3"/>
        <v>0</v>
      </c>
    </row>
    <row r="81" spans="2:7">
      <c r="B81" s="84" t="str">
        <f>指标还原!S68</f>
        <v/>
      </c>
      <c r="C81" s="85">
        <f>正常测算!H68</f>
        <v>0</v>
      </c>
      <c r="D81" s="85">
        <f t="shared" si="2"/>
        <v>0</v>
      </c>
      <c r="E81" s="108" t="str">
        <f>IF(正常测算!$H$1="人民币电汇","0.00",IF(ISNUMBER(D80*$B$19*(B81-B80)/360),D80*$B$19*(B81-B80)/360,0))</f>
        <v>0.00</v>
      </c>
      <c r="F81" s="85" t="str">
        <f>指标还原!I68</f>
        <v/>
      </c>
      <c r="G81" s="85">
        <f t="shared" si="3"/>
        <v>0</v>
      </c>
    </row>
    <row r="82" spans="2:7">
      <c r="B82" s="84" t="str">
        <f>指标还原!S69</f>
        <v/>
      </c>
      <c r="C82" s="85">
        <f>正常测算!H69</f>
        <v>0</v>
      </c>
      <c r="D82" s="85">
        <f t="shared" si="2"/>
        <v>0</v>
      </c>
      <c r="E82" s="108" t="str">
        <f>IF(正常测算!$H$1="人民币电汇","0.00",IF(ISNUMBER(D81*$B$19*(B82-B81)/360),D81*$B$19*(B82-B81)/360,0))</f>
        <v>0.00</v>
      </c>
      <c r="F82" s="85" t="str">
        <f>指标还原!I69</f>
        <v/>
      </c>
      <c r="G82" s="85">
        <f t="shared" si="3"/>
        <v>0</v>
      </c>
    </row>
    <row r="83" spans="2:7">
      <c r="B83" s="84" t="str">
        <f>指标还原!S70</f>
        <v/>
      </c>
      <c r="C83" s="85">
        <f>正常测算!H70</f>
        <v>0</v>
      </c>
      <c r="D83" s="85">
        <f t="shared" si="2"/>
        <v>0</v>
      </c>
      <c r="E83" s="108" t="str">
        <f>IF(正常测算!$H$1="人民币电汇","0.00",IF(ISNUMBER(D82*$B$19*(B83-B82)/360),D82*$B$19*(B83-B82)/360,0))</f>
        <v>0.00</v>
      </c>
      <c r="F83" s="85" t="str">
        <f>指标还原!I70</f>
        <v/>
      </c>
      <c r="G83" s="85">
        <f t="shared" si="3"/>
        <v>0</v>
      </c>
    </row>
    <row r="84" spans="2:7">
      <c r="B84" s="84" t="str">
        <f>指标还原!S71</f>
        <v/>
      </c>
      <c r="C84" s="85">
        <f>正常测算!H71</f>
        <v>0</v>
      </c>
      <c r="D84" s="85">
        <f t="shared" si="2"/>
        <v>0</v>
      </c>
      <c r="E84" s="108" t="str">
        <f>IF(正常测算!$H$1="人民币电汇","0.00",IF(ISNUMBER(D83*$B$19*(B84-B83)/360),D83*$B$19*(B84-B83)/360,0))</f>
        <v>0.00</v>
      </c>
      <c r="F84" s="85" t="str">
        <f>指标还原!I71</f>
        <v/>
      </c>
      <c r="G84" s="85">
        <f t="shared" si="3"/>
        <v>0</v>
      </c>
    </row>
    <row r="85" spans="2:7">
      <c r="B85" s="84" t="str">
        <f>指标还原!S72</f>
        <v/>
      </c>
      <c r="C85" s="85">
        <f>正常测算!H72</f>
        <v>0</v>
      </c>
      <c r="D85" s="85">
        <f t="shared" si="2"/>
        <v>0</v>
      </c>
      <c r="E85" s="108" t="str">
        <f>IF(正常测算!$H$1="人民币电汇","0.00",IF(ISNUMBER(D84*$B$19*(B85-B84)/360),D84*$B$19*(B85-B84)/360,0))</f>
        <v>0.00</v>
      </c>
      <c r="F85" s="85" t="str">
        <f>指标还原!I72</f>
        <v/>
      </c>
      <c r="G85" s="85">
        <f t="shared" si="3"/>
        <v>0</v>
      </c>
    </row>
    <row r="86" spans="2:7">
      <c r="B86" s="84" t="str">
        <f>指标还原!S73</f>
        <v/>
      </c>
      <c r="C86" s="85">
        <f>正常测算!H73</f>
        <v>0</v>
      </c>
      <c r="D86" s="85">
        <f t="shared" si="2"/>
        <v>0</v>
      </c>
      <c r="E86" s="108" t="str">
        <f>IF(正常测算!$H$1="人民币电汇","0.00",IF(ISNUMBER(D85*$B$19*(B86-B85)/360),D85*$B$19*(B86-B85)/360,0))</f>
        <v>0.00</v>
      </c>
      <c r="F86" s="85" t="str">
        <f>指标还原!I73</f>
        <v/>
      </c>
      <c r="G86" s="85">
        <f t="shared" si="3"/>
        <v>0</v>
      </c>
    </row>
    <row r="87" spans="2:7">
      <c r="B87" s="84" t="str">
        <f>指标还原!S74</f>
        <v/>
      </c>
      <c r="C87" s="85">
        <f>正常测算!H74</f>
        <v>0</v>
      </c>
      <c r="D87" s="85">
        <f t="shared" si="2"/>
        <v>0</v>
      </c>
      <c r="E87" s="108" t="str">
        <f>IF(正常测算!$H$1="人民币电汇","0.00",IF(ISNUMBER(D86*$B$19*(B87-B86)/360),D86*$B$19*(B87-B86)/360,0))</f>
        <v>0.00</v>
      </c>
      <c r="F87" s="85" t="str">
        <f>指标还原!I74</f>
        <v/>
      </c>
      <c r="G87" s="85">
        <f t="shared" si="3"/>
        <v>0</v>
      </c>
    </row>
    <row r="88" spans="2:7">
      <c r="B88" s="84" t="str">
        <f>指标还原!S75</f>
        <v/>
      </c>
      <c r="C88" s="85">
        <f>正常测算!H75</f>
        <v>0</v>
      </c>
      <c r="D88" s="85">
        <f t="shared" si="2"/>
        <v>0</v>
      </c>
      <c r="E88" s="108" t="str">
        <f>IF(正常测算!$H$1="人民币电汇","0.00",IF(ISNUMBER(D87*$B$19*(B88-B87)/360),D87*$B$19*(B88-B87)/360,0))</f>
        <v>0.00</v>
      </c>
      <c r="F88" s="85" t="str">
        <f>指标还原!I75</f>
        <v/>
      </c>
      <c r="G88" s="85">
        <f t="shared" si="3"/>
        <v>0</v>
      </c>
    </row>
    <row r="89" spans="2:7">
      <c r="B89" s="84" t="str">
        <f>指标还原!S76</f>
        <v/>
      </c>
      <c r="C89" s="85">
        <f>正常测算!H76</f>
        <v>0</v>
      </c>
      <c r="D89" s="85">
        <f t="shared" si="2"/>
        <v>0</v>
      </c>
      <c r="E89" s="108" t="str">
        <f>IF(正常测算!$H$1="人民币电汇","0.00",IF(ISNUMBER(D88*$B$19*(B89-B88)/360),D88*$B$19*(B89-B88)/360,0))</f>
        <v>0.00</v>
      </c>
      <c r="F89" s="85" t="str">
        <f>指标还原!I76</f>
        <v/>
      </c>
      <c r="G89" s="85">
        <f t="shared" si="3"/>
        <v>0</v>
      </c>
    </row>
    <row r="90" spans="2:7">
      <c r="B90" s="84" t="str">
        <f>指标还原!S77</f>
        <v/>
      </c>
      <c r="C90" s="85">
        <f>正常测算!H77</f>
        <v>0</v>
      </c>
      <c r="D90" s="85">
        <f t="shared" si="2"/>
        <v>0</v>
      </c>
      <c r="E90" s="108" t="str">
        <f>IF(正常测算!$H$1="人民币电汇","0.00",IF(ISNUMBER(D89*$B$19*(B90-B89)/360),D89*$B$19*(B90-B89)/360,0))</f>
        <v>0.00</v>
      </c>
      <c r="F90" s="85" t="str">
        <f>指标还原!I77</f>
        <v/>
      </c>
      <c r="G90" s="85">
        <f t="shared" ref="G90:G121" si="4">IF(ISNUMBER(F89*(B90-B89)/360*($B$3-$B$19)),F89*(B90-B89)/360*($B$3-$B$19),0)</f>
        <v>0</v>
      </c>
    </row>
    <row r="91" spans="2:7">
      <c r="B91" s="84" t="str">
        <f>指标还原!S78</f>
        <v/>
      </c>
      <c r="C91" s="85">
        <f>正常测算!H78</f>
        <v>0</v>
      </c>
      <c r="D91" s="85">
        <f t="shared" si="2"/>
        <v>0</v>
      </c>
      <c r="E91" s="108" t="str">
        <f>IF(正常测算!$H$1="人民币电汇","0.00",IF(ISNUMBER(D90*$B$19*(B91-B90)/360),D90*$B$19*(B91-B90)/360,0))</f>
        <v>0.00</v>
      </c>
      <c r="F91" s="85" t="str">
        <f>指标还原!I78</f>
        <v/>
      </c>
      <c r="G91" s="85">
        <f t="shared" si="4"/>
        <v>0</v>
      </c>
    </row>
    <row r="92" spans="2:7">
      <c r="B92" s="84" t="str">
        <f>指标还原!S79</f>
        <v/>
      </c>
      <c r="C92" s="85">
        <f>正常测算!H79</f>
        <v>0</v>
      </c>
      <c r="D92" s="85">
        <f t="shared" si="2"/>
        <v>0</v>
      </c>
      <c r="E92" s="108" t="str">
        <f>IF(正常测算!$H$1="人民币电汇","0.00",IF(ISNUMBER(D91*$B$19*(B92-B91)/360),D91*$B$19*(B92-B91)/360,0))</f>
        <v>0.00</v>
      </c>
      <c r="F92" s="85" t="str">
        <f>指标还原!I79</f>
        <v/>
      </c>
      <c r="G92" s="85">
        <f t="shared" si="4"/>
        <v>0</v>
      </c>
    </row>
    <row r="93" spans="2:7">
      <c r="B93" s="84" t="str">
        <f>指标还原!S80</f>
        <v/>
      </c>
      <c r="C93" s="85">
        <f>正常测算!H80</f>
        <v>0</v>
      </c>
      <c r="D93" s="85">
        <f t="shared" si="2"/>
        <v>0</v>
      </c>
      <c r="E93" s="108" t="str">
        <f>IF(正常测算!$H$1="人民币电汇","0.00",IF(ISNUMBER(D92*$B$19*(B93-B92)/360),D92*$B$19*(B93-B92)/360,0))</f>
        <v>0.00</v>
      </c>
      <c r="F93" s="85" t="str">
        <f>指标还原!I80</f>
        <v/>
      </c>
      <c r="G93" s="85">
        <f t="shared" si="4"/>
        <v>0</v>
      </c>
    </row>
    <row r="94" spans="2:7">
      <c r="B94" s="84" t="str">
        <f>指标还原!S81</f>
        <v/>
      </c>
      <c r="C94" s="85">
        <f>正常测算!H81</f>
        <v>0</v>
      </c>
      <c r="D94" s="85">
        <f t="shared" si="2"/>
        <v>0</v>
      </c>
      <c r="E94" s="108" t="str">
        <f>IF(正常测算!$H$1="人民币电汇","0.00",IF(ISNUMBER(D93*$B$19*(B94-B93)/360),D93*$B$19*(B94-B93)/360,0))</f>
        <v>0.00</v>
      </c>
      <c r="F94" s="85" t="str">
        <f>指标还原!I81</f>
        <v/>
      </c>
      <c r="G94" s="85">
        <f t="shared" si="4"/>
        <v>0</v>
      </c>
    </row>
    <row r="95" spans="2:7">
      <c r="B95" s="84" t="str">
        <f>指标还原!S82</f>
        <v/>
      </c>
      <c r="C95" s="85">
        <f>正常测算!H82</f>
        <v>0</v>
      </c>
      <c r="D95" s="85">
        <f t="shared" si="2"/>
        <v>0</v>
      </c>
      <c r="E95" s="108" t="str">
        <f>IF(正常测算!$H$1="人民币电汇","0.00",IF(ISNUMBER(D94*$B$19*(B95-B94)/360),D94*$B$19*(B95-B94)/360,0))</f>
        <v>0.00</v>
      </c>
      <c r="F95" s="85" t="str">
        <f>指标还原!I82</f>
        <v/>
      </c>
      <c r="G95" s="85">
        <f t="shared" si="4"/>
        <v>0</v>
      </c>
    </row>
    <row r="96" spans="2:7">
      <c r="B96" s="84" t="str">
        <f>指标还原!S83</f>
        <v/>
      </c>
      <c r="C96" s="85">
        <f>正常测算!H83</f>
        <v>0</v>
      </c>
      <c r="D96" s="85">
        <f t="shared" si="2"/>
        <v>0</v>
      </c>
      <c r="E96" s="108" t="str">
        <f>IF(正常测算!$H$1="人民币电汇","0.00",IF(ISNUMBER(D95*$B$19*(B96-B95)/360),D95*$B$19*(B96-B95)/360,0))</f>
        <v>0.00</v>
      </c>
      <c r="F96" s="85" t="str">
        <f>指标还原!I83</f>
        <v/>
      </c>
      <c r="G96" s="85">
        <f t="shared" si="4"/>
        <v>0</v>
      </c>
    </row>
    <row r="97" spans="2:7">
      <c r="B97" s="84" t="str">
        <f>指标还原!S84</f>
        <v/>
      </c>
      <c r="C97" s="85">
        <f>正常测算!H84</f>
        <v>0</v>
      </c>
      <c r="D97" s="85">
        <f t="shared" ref="D97:D147" si="5">C97+D96</f>
        <v>0</v>
      </c>
      <c r="E97" s="108" t="str">
        <f>IF(正常测算!$H$1="人民币电汇","0.00",IF(ISNUMBER(D96*$B$19*(B97-B96)/360),D96*$B$19*(B97-B96)/360,0))</f>
        <v>0.00</v>
      </c>
      <c r="F97" s="85" t="str">
        <f>指标还原!I84</f>
        <v/>
      </c>
      <c r="G97" s="85">
        <f t="shared" si="4"/>
        <v>0</v>
      </c>
    </row>
    <row r="98" spans="2:7">
      <c r="B98" s="84" t="str">
        <f>指标还原!S85</f>
        <v/>
      </c>
      <c r="C98" s="85">
        <f>正常测算!H85</f>
        <v>0</v>
      </c>
      <c r="D98" s="85">
        <f t="shared" si="5"/>
        <v>0</v>
      </c>
      <c r="E98" s="108" t="str">
        <f>IF(正常测算!$H$1="人民币电汇","0.00",IF(ISNUMBER(D97*$B$19*(B98-B97)/360),D97*$B$19*(B98-B97)/360,0))</f>
        <v>0.00</v>
      </c>
      <c r="F98" s="85" t="str">
        <f>指标还原!I85</f>
        <v/>
      </c>
      <c r="G98" s="85">
        <f t="shared" si="4"/>
        <v>0</v>
      </c>
    </row>
    <row r="99" spans="2:7">
      <c r="B99" s="84" t="str">
        <f>指标还原!S86</f>
        <v/>
      </c>
      <c r="C99" s="85">
        <f>正常测算!H86</f>
        <v>0</v>
      </c>
      <c r="D99" s="85">
        <f t="shared" si="5"/>
        <v>0</v>
      </c>
      <c r="E99" s="108" t="str">
        <f>IF(正常测算!$H$1="人民币电汇","0.00",IF(ISNUMBER(D98*$B$19*(B99-B98)/360),D98*$B$19*(B99-B98)/360,0))</f>
        <v>0.00</v>
      </c>
      <c r="F99" s="85" t="str">
        <f>指标还原!I86</f>
        <v/>
      </c>
      <c r="G99" s="85">
        <f t="shared" si="4"/>
        <v>0</v>
      </c>
    </row>
    <row r="100" spans="2:7">
      <c r="B100" s="84" t="str">
        <f>指标还原!S87</f>
        <v/>
      </c>
      <c r="C100" s="85">
        <f>正常测算!H87</f>
        <v>0</v>
      </c>
      <c r="D100" s="85">
        <f t="shared" si="5"/>
        <v>0</v>
      </c>
      <c r="E100" s="108" t="str">
        <f>IF(正常测算!$H$1="人民币电汇","0.00",IF(ISNUMBER(D99*$B$19*(B100-B99)/360),D99*$B$19*(B100-B99)/360,0))</f>
        <v>0.00</v>
      </c>
      <c r="F100" s="85" t="str">
        <f>指标还原!I87</f>
        <v/>
      </c>
      <c r="G100" s="85">
        <f t="shared" si="4"/>
        <v>0</v>
      </c>
    </row>
    <row r="101" spans="2:7">
      <c r="B101" s="84" t="str">
        <f>指标还原!S88</f>
        <v/>
      </c>
      <c r="C101" s="85">
        <f>正常测算!H88</f>
        <v>0</v>
      </c>
      <c r="D101" s="85">
        <f t="shared" si="5"/>
        <v>0</v>
      </c>
      <c r="E101" s="108" t="str">
        <f>IF(正常测算!$H$1="人民币电汇","0.00",IF(ISNUMBER(D100*$B$19*(B101-B100)/360),D100*$B$19*(B101-B100)/360,0))</f>
        <v>0.00</v>
      </c>
      <c r="F101" s="85" t="str">
        <f>指标还原!I88</f>
        <v/>
      </c>
      <c r="G101" s="85">
        <f t="shared" si="4"/>
        <v>0</v>
      </c>
    </row>
    <row r="102" spans="2:7">
      <c r="B102" s="84" t="str">
        <f>指标还原!S89</f>
        <v/>
      </c>
      <c r="C102" s="85">
        <f>正常测算!H89</f>
        <v>0</v>
      </c>
      <c r="D102" s="85">
        <f t="shared" si="5"/>
        <v>0</v>
      </c>
      <c r="E102" s="108" t="str">
        <f>IF(正常测算!$H$1="人民币电汇","0.00",IF(ISNUMBER(D101*$B$19*(B102-B101)/360),D101*$B$19*(B102-B101)/360,0))</f>
        <v>0.00</v>
      </c>
      <c r="F102" s="85" t="str">
        <f>指标还原!I89</f>
        <v/>
      </c>
      <c r="G102" s="85">
        <f t="shared" si="4"/>
        <v>0</v>
      </c>
    </row>
    <row r="103" spans="2:7">
      <c r="B103" s="84" t="str">
        <f>指标还原!S90</f>
        <v/>
      </c>
      <c r="C103" s="85">
        <f>正常测算!H90</f>
        <v>0</v>
      </c>
      <c r="D103" s="85">
        <f t="shared" si="5"/>
        <v>0</v>
      </c>
      <c r="E103" s="108" t="str">
        <f>IF(正常测算!$H$1="人民币电汇","0.00",IF(ISNUMBER(D102*$B$19*(B103-B102)/360),D102*$B$19*(B103-B102)/360,0))</f>
        <v>0.00</v>
      </c>
      <c r="F103" s="85" t="str">
        <f>指标还原!I90</f>
        <v/>
      </c>
      <c r="G103" s="85">
        <f t="shared" si="4"/>
        <v>0</v>
      </c>
    </row>
    <row r="104" spans="2:7">
      <c r="B104" s="84" t="str">
        <f>指标还原!S91</f>
        <v/>
      </c>
      <c r="C104" s="85">
        <f>正常测算!H91</f>
        <v>0</v>
      </c>
      <c r="D104" s="85">
        <f t="shared" si="5"/>
        <v>0</v>
      </c>
      <c r="E104" s="108" t="str">
        <f>IF(正常测算!$H$1="人民币电汇","0.00",IF(ISNUMBER(D103*$B$19*(B104-B103)/360),D103*$B$19*(B104-B103)/360,0))</f>
        <v>0.00</v>
      </c>
      <c r="F104" s="85" t="str">
        <f>指标还原!I91</f>
        <v/>
      </c>
      <c r="G104" s="85">
        <f t="shared" si="4"/>
        <v>0</v>
      </c>
    </row>
    <row r="105" spans="2:7">
      <c r="B105" s="84" t="str">
        <f>指标还原!S92</f>
        <v/>
      </c>
      <c r="C105" s="85">
        <f>正常测算!H92</f>
        <v>0</v>
      </c>
      <c r="D105" s="85">
        <f t="shared" si="5"/>
        <v>0</v>
      </c>
      <c r="E105" s="108" t="str">
        <f>IF(正常测算!$H$1="人民币电汇","0.00",IF(ISNUMBER(D104*$B$19*(B105-B104)/360),D104*$B$19*(B105-B104)/360,0))</f>
        <v>0.00</v>
      </c>
      <c r="F105" s="85" t="str">
        <f>指标还原!I92</f>
        <v/>
      </c>
      <c r="G105" s="85">
        <f t="shared" si="4"/>
        <v>0</v>
      </c>
    </row>
    <row r="106" spans="2:7">
      <c r="B106" s="84" t="str">
        <f>指标还原!S93</f>
        <v/>
      </c>
      <c r="C106" s="85">
        <f>正常测算!H93</f>
        <v>0</v>
      </c>
      <c r="D106" s="85">
        <f t="shared" si="5"/>
        <v>0</v>
      </c>
      <c r="E106" s="108" t="str">
        <f>IF(正常测算!$H$1="人民币电汇","0.00",IF(ISNUMBER(D105*$B$19*(B106-B105)/360),D105*$B$19*(B106-B105)/360,0))</f>
        <v>0.00</v>
      </c>
      <c r="F106" s="85" t="str">
        <f>指标还原!I93</f>
        <v/>
      </c>
      <c r="G106" s="85">
        <f t="shared" si="4"/>
        <v>0</v>
      </c>
    </row>
    <row r="107" spans="2:7">
      <c r="B107" s="84" t="str">
        <f>指标还原!S94</f>
        <v/>
      </c>
      <c r="C107" s="85">
        <f>正常测算!H94</f>
        <v>0</v>
      </c>
      <c r="D107" s="85">
        <f t="shared" si="5"/>
        <v>0</v>
      </c>
      <c r="E107" s="108" t="str">
        <f>IF(正常测算!$H$1="人民币电汇","0.00",IF(ISNUMBER(D106*$B$19*(B107-B106)/360),D106*$B$19*(B107-B106)/360,0))</f>
        <v>0.00</v>
      </c>
      <c r="F107" s="85" t="str">
        <f>指标还原!I94</f>
        <v/>
      </c>
      <c r="G107" s="85">
        <f t="shared" si="4"/>
        <v>0</v>
      </c>
    </row>
    <row r="108" spans="2:7">
      <c r="B108" s="84" t="str">
        <f>指标还原!S95</f>
        <v/>
      </c>
      <c r="C108" s="85">
        <f>正常测算!H95</f>
        <v>0</v>
      </c>
      <c r="D108" s="85">
        <f t="shared" si="5"/>
        <v>0</v>
      </c>
      <c r="E108" s="108" t="str">
        <f>IF(正常测算!$H$1="人民币电汇","0.00",IF(ISNUMBER(D107*$B$19*(B108-B107)/360),D107*$B$19*(B108-B107)/360,0))</f>
        <v>0.00</v>
      </c>
      <c r="F108" s="85" t="str">
        <f>指标还原!I95</f>
        <v/>
      </c>
      <c r="G108" s="85">
        <f t="shared" si="4"/>
        <v>0</v>
      </c>
    </row>
    <row r="109" spans="2:7">
      <c r="B109" s="84" t="str">
        <f>指标还原!S96</f>
        <v/>
      </c>
      <c r="C109" s="85">
        <f>正常测算!H96</f>
        <v>0</v>
      </c>
      <c r="D109" s="85">
        <f t="shared" si="5"/>
        <v>0</v>
      </c>
      <c r="E109" s="108" t="str">
        <f>IF(正常测算!$H$1="人民币电汇","0.00",IF(ISNUMBER(D108*$B$19*(B109-B108)/360),D108*$B$19*(B109-B108)/360,0))</f>
        <v>0.00</v>
      </c>
      <c r="F109" s="85" t="str">
        <f>指标还原!I96</f>
        <v/>
      </c>
      <c r="G109" s="85">
        <f t="shared" si="4"/>
        <v>0</v>
      </c>
    </row>
    <row r="110" spans="2:7">
      <c r="B110" s="84" t="str">
        <f>指标还原!S97</f>
        <v/>
      </c>
      <c r="C110" s="85">
        <f>正常测算!H97</f>
        <v>0</v>
      </c>
      <c r="D110" s="85">
        <f t="shared" si="5"/>
        <v>0</v>
      </c>
      <c r="E110" s="108" t="str">
        <f>IF(正常测算!$H$1="人民币电汇","0.00",IF(ISNUMBER(D109*$B$19*(B110-B109)/360),D109*$B$19*(B110-B109)/360,0))</f>
        <v>0.00</v>
      </c>
      <c r="F110" s="85" t="str">
        <f>指标还原!I97</f>
        <v/>
      </c>
      <c r="G110" s="85">
        <f t="shared" si="4"/>
        <v>0</v>
      </c>
    </row>
    <row r="111" spans="2:7">
      <c r="B111" s="84" t="str">
        <f>指标还原!S98</f>
        <v/>
      </c>
      <c r="C111" s="85">
        <f>正常测算!H98</f>
        <v>0</v>
      </c>
      <c r="D111" s="85">
        <f t="shared" si="5"/>
        <v>0</v>
      </c>
      <c r="E111" s="108" t="str">
        <f>IF(正常测算!$H$1="人民币电汇","0.00",IF(ISNUMBER(D110*$B$19*(B111-B110)/360),D110*$B$19*(B111-B110)/360,0))</f>
        <v>0.00</v>
      </c>
      <c r="F111" s="85" t="str">
        <f>指标还原!I98</f>
        <v/>
      </c>
      <c r="G111" s="85">
        <f t="shared" si="4"/>
        <v>0</v>
      </c>
    </row>
    <row r="112" spans="2:7">
      <c r="B112" s="84" t="str">
        <f>指标还原!S99</f>
        <v/>
      </c>
      <c r="C112" s="85">
        <f>正常测算!H99</f>
        <v>0</v>
      </c>
      <c r="D112" s="85">
        <f t="shared" si="5"/>
        <v>0</v>
      </c>
      <c r="E112" s="108" t="str">
        <f>IF(正常测算!$H$1="人民币电汇","0.00",IF(ISNUMBER(D111*$B$19*(B112-B111)/360),D111*$B$19*(B112-B111)/360,0))</f>
        <v>0.00</v>
      </c>
      <c r="F112" s="85" t="str">
        <f>指标还原!I99</f>
        <v/>
      </c>
      <c r="G112" s="85">
        <f t="shared" si="4"/>
        <v>0</v>
      </c>
    </row>
    <row r="113" spans="2:7">
      <c r="B113" s="84" t="str">
        <f>指标还原!S100</f>
        <v/>
      </c>
      <c r="C113" s="85">
        <f>正常测算!H100</f>
        <v>0</v>
      </c>
      <c r="D113" s="85">
        <f t="shared" si="5"/>
        <v>0</v>
      </c>
      <c r="E113" s="108" t="str">
        <f>IF(正常测算!$H$1="人民币电汇","0.00",IF(ISNUMBER(D112*$B$19*(B113-B112)/360),D112*$B$19*(B113-B112)/360,0))</f>
        <v>0.00</v>
      </c>
      <c r="F113" s="85" t="str">
        <f>指标还原!I100</f>
        <v/>
      </c>
      <c r="G113" s="85">
        <f t="shared" si="4"/>
        <v>0</v>
      </c>
    </row>
    <row r="114" spans="2:7">
      <c r="B114" s="84" t="str">
        <f>指标还原!S101</f>
        <v/>
      </c>
      <c r="C114" s="85">
        <f>正常测算!H101</f>
        <v>0</v>
      </c>
      <c r="D114" s="85">
        <f t="shared" si="5"/>
        <v>0</v>
      </c>
      <c r="E114" s="108" t="str">
        <f>IF(正常测算!$H$1="人民币电汇","0.00",IF(ISNUMBER(D113*$B$19*(B114-B113)/360),D113*$B$19*(B114-B113)/360,0))</f>
        <v>0.00</v>
      </c>
      <c r="F114" s="85" t="str">
        <f>指标还原!I101</f>
        <v/>
      </c>
      <c r="G114" s="85">
        <f t="shared" si="4"/>
        <v>0</v>
      </c>
    </row>
    <row r="115" spans="2:7">
      <c r="B115" s="84" t="str">
        <f>指标还原!S102</f>
        <v/>
      </c>
      <c r="C115" s="85">
        <f>正常测算!H102</f>
        <v>0</v>
      </c>
      <c r="D115" s="85">
        <f t="shared" si="5"/>
        <v>0</v>
      </c>
      <c r="E115" s="108" t="str">
        <f>IF(正常测算!$H$1="人民币电汇","0.00",IF(ISNUMBER(D114*$B$19*(B115-B114)/360),D114*$B$19*(B115-B114)/360,0))</f>
        <v>0.00</v>
      </c>
      <c r="F115" s="85" t="str">
        <f>指标还原!I102</f>
        <v/>
      </c>
      <c r="G115" s="85">
        <f t="shared" si="4"/>
        <v>0</v>
      </c>
    </row>
    <row r="116" spans="2:7">
      <c r="B116" s="84" t="str">
        <f>指标还原!S103</f>
        <v/>
      </c>
      <c r="C116" s="85">
        <f>正常测算!H103</f>
        <v>0</v>
      </c>
      <c r="D116" s="85">
        <f t="shared" si="5"/>
        <v>0</v>
      </c>
      <c r="E116" s="108" t="str">
        <f>IF(正常测算!$H$1="人民币电汇","0.00",IF(ISNUMBER(D115*$B$19*(B116-B115)/360),D115*$B$19*(B116-B115)/360,0))</f>
        <v>0.00</v>
      </c>
      <c r="F116" s="85" t="str">
        <f>指标还原!I103</f>
        <v/>
      </c>
      <c r="G116" s="85">
        <f t="shared" si="4"/>
        <v>0</v>
      </c>
    </row>
    <row r="117" spans="2:7">
      <c r="B117" s="84" t="str">
        <f>指标还原!S104</f>
        <v/>
      </c>
      <c r="C117" s="85">
        <f>正常测算!H104</f>
        <v>0</v>
      </c>
      <c r="D117" s="85">
        <f t="shared" si="5"/>
        <v>0</v>
      </c>
      <c r="E117" s="108" t="str">
        <f>IF(正常测算!$H$1="人民币电汇","0.00",IF(ISNUMBER(D116*$B$19*(B117-B116)/360),D116*$B$19*(B117-B116)/360,0))</f>
        <v>0.00</v>
      </c>
      <c r="F117" s="85" t="str">
        <f>指标还原!I104</f>
        <v/>
      </c>
      <c r="G117" s="85">
        <f t="shared" si="4"/>
        <v>0</v>
      </c>
    </row>
    <row r="118" spans="2:7">
      <c r="B118" s="84" t="str">
        <f>指标还原!S105</f>
        <v/>
      </c>
      <c r="C118" s="85">
        <f>正常测算!H105</f>
        <v>0</v>
      </c>
      <c r="D118" s="85">
        <f t="shared" si="5"/>
        <v>0</v>
      </c>
      <c r="E118" s="108" t="str">
        <f>IF(正常测算!$H$1="人民币电汇","0.00",IF(ISNUMBER(D117*$B$19*(B118-B117)/360),D117*$B$19*(B118-B117)/360,0))</f>
        <v>0.00</v>
      </c>
      <c r="F118" s="85" t="str">
        <f>指标还原!I105</f>
        <v/>
      </c>
      <c r="G118" s="85">
        <f t="shared" si="4"/>
        <v>0</v>
      </c>
    </row>
    <row r="119" spans="2:7">
      <c r="B119" s="84" t="str">
        <f>指标还原!S106</f>
        <v/>
      </c>
      <c r="C119" s="85">
        <f>正常测算!H106</f>
        <v>0</v>
      </c>
      <c r="D119" s="85">
        <f t="shared" si="5"/>
        <v>0</v>
      </c>
      <c r="E119" s="108" t="str">
        <f>IF(正常测算!$H$1="人民币电汇","0.00",IF(ISNUMBER(D118*$B$19*(B119-B118)/360),D118*$B$19*(B119-B118)/360,0))</f>
        <v>0.00</v>
      </c>
      <c r="F119" s="85" t="str">
        <f>指标还原!I106</f>
        <v/>
      </c>
      <c r="G119" s="85">
        <f t="shared" si="4"/>
        <v>0</v>
      </c>
    </row>
    <row r="120" spans="2:7">
      <c r="B120" s="84" t="str">
        <f>指标还原!S107</f>
        <v/>
      </c>
      <c r="C120" s="85">
        <f>正常测算!H107</f>
        <v>0</v>
      </c>
      <c r="D120" s="85">
        <f t="shared" si="5"/>
        <v>0</v>
      </c>
      <c r="E120" s="108" t="str">
        <f>IF(正常测算!$H$1="人民币电汇","0.00",IF(ISNUMBER(D119*$B$19*(B120-B119)/360),D119*$B$19*(B120-B119)/360,0))</f>
        <v>0.00</v>
      </c>
      <c r="F120" s="85" t="str">
        <f>指标还原!I107</f>
        <v/>
      </c>
      <c r="G120" s="85">
        <f t="shared" si="4"/>
        <v>0</v>
      </c>
    </row>
    <row r="121" spans="2:7">
      <c r="B121" s="84" t="str">
        <f>指标还原!S108</f>
        <v/>
      </c>
      <c r="C121" s="85">
        <f>正常测算!H108</f>
        <v>0</v>
      </c>
      <c r="D121" s="85">
        <f t="shared" si="5"/>
        <v>0</v>
      </c>
      <c r="E121" s="108" t="str">
        <f>IF(正常测算!$H$1="人民币电汇","0.00",IF(ISNUMBER(D120*$B$19*(B121-B120)/360),D120*$B$19*(B121-B120)/360,0))</f>
        <v>0.00</v>
      </c>
      <c r="F121" s="85" t="str">
        <f>指标还原!I108</f>
        <v/>
      </c>
      <c r="G121" s="85">
        <f t="shared" si="4"/>
        <v>0</v>
      </c>
    </row>
    <row r="122" spans="2:7">
      <c r="B122" s="84" t="str">
        <f>指标还原!S109</f>
        <v/>
      </c>
      <c r="C122" s="85">
        <f>正常测算!H109</f>
        <v>0</v>
      </c>
      <c r="D122" s="85">
        <f t="shared" si="5"/>
        <v>0</v>
      </c>
      <c r="E122" s="108" t="str">
        <f>IF(正常测算!$H$1="人民币电汇","0.00",IF(ISNUMBER(D121*$B$19*(B122-B121)/360),D121*$B$19*(B122-B121)/360,0))</f>
        <v>0.00</v>
      </c>
      <c r="F122" s="85" t="str">
        <f>指标还原!I109</f>
        <v/>
      </c>
      <c r="G122" s="85">
        <f t="shared" ref="G122:G147" si="6">IF(ISNUMBER(F121*(B122-B121)/360*($B$3-$B$19)),F121*(B122-B121)/360*($B$3-$B$19),0)</f>
        <v>0</v>
      </c>
    </row>
    <row r="123" spans="2:7">
      <c r="B123" s="84" t="str">
        <f>指标还原!S110</f>
        <v/>
      </c>
      <c r="C123" s="85">
        <f>正常测算!H110</f>
        <v>0</v>
      </c>
      <c r="D123" s="85">
        <f t="shared" si="5"/>
        <v>0</v>
      </c>
      <c r="E123" s="108" t="str">
        <f>IF(正常测算!$H$1="人民币电汇","0.00",IF(ISNUMBER(D122*$B$19*(B123-B122)/360),D122*$B$19*(B123-B122)/360,0))</f>
        <v>0.00</v>
      </c>
      <c r="F123" s="85" t="str">
        <f>指标还原!I110</f>
        <v/>
      </c>
      <c r="G123" s="85">
        <f t="shared" si="6"/>
        <v>0</v>
      </c>
    </row>
    <row r="124" spans="2:7">
      <c r="B124" s="84" t="str">
        <f>指标还原!S111</f>
        <v/>
      </c>
      <c r="C124" s="85">
        <f>正常测算!H111</f>
        <v>0</v>
      </c>
      <c r="D124" s="85">
        <f t="shared" si="5"/>
        <v>0</v>
      </c>
      <c r="E124" s="108" t="str">
        <f>IF(正常测算!$H$1="人民币电汇","0.00",IF(ISNUMBER(D123*$B$19*(B124-B123)/360),D123*$B$19*(B124-B123)/360,0))</f>
        <v>0.00</v>
      </c>
      <c r="F124" s="85" t="str">
        <f>指标还原!I111</f>
        <v/>
      </c>
      <c r="G124" s="85">
        <f t="shared" si="6"/>
        <v>0</v>
      </c>
    </row>
    <row r="125" spans="2:7">
      <c r="B125" s="84" t="str">
        <f>指标还原!S112</f>
        <v/>
      </c>
      <c r="C125" s="85">
        <f>正常测算!H112</f>
        <v>0</v>
      </c>
      <c r="D125" s="85">
        <f t="shared" si="5"/>
        <v>0</v>
      </c>
      <c r="E125" s="108" t="str">
        <f>IF(正常测算!$H$1="人民币电汇","0.00",IF(ISNUMBER(D124*$B$19*(B125-B124)/360),D124*$B$19*(B125-B124)/360,0))</f>
        <v>0.00</v>
      </c>
      <c r="F125" s="85" t="str">
        <f>指标还原!I112</f>
        <v/>
      </c>
      <c r="G125" s="85">
        <f t="shared" si="6"/>
        <v>0</v>
      </c>
    </row>
    <row r="126" spans="2:7">
      <c r="B126" s="84" t="str">
        <f>指标还原!S113</f>
        <v/>
      </c>
      <c r="C126" s="85">
        <f>正常测算!H113</f>
        <v>0</v>
      </c>
      <c r="D126" s="85">
        <f t="shared" si="5"/>
        <v>0</v>
      </c>
      <c r="E126" s="108" t="str">
        <f>IF(正常测算!$H$1="人民币电汇","0.00",IF(ISNUMBER(D125*$B$19*(B126-B125)/360),D125*$B$19*(B126-B125)/360,0))</f>
        <v>0.00</v>
      </c>
      <c r="F126" s="85" t="str">
        <f>指标还原!I113</f>
        <v/>
      </c>
      <c r="G126" s="85">
        <f t="shared" si="6"/>
        <v>0</v>
      </c>
    </row>
    <row r="127" spans="2:7">
      <c r="B127" s="84" t="str">
        <f>指标还原!S114</f>
        <v/>
      </c>
      <c r="C127" s="85">
        <f>正常测算!H114</f>
        <v>0</v>
      </c>
      <c r="D127" s="85">
        <f t="shared" si="5"/>
        <v>0</v>
      </c>
      <c r="E127" s="108" t="str">
        <f>IF(正常测算!$H$1="人民币电汇","0.00",IF(ISNUMBER(D126*$B$19*(B127-B126)/360),D126*$B$19*(B127-B126)/360,0))</f>
        <v>0.00</v>
      </c>
      <c r="F127" s="85" t="str">
        <f>指标还原!I114</f>
        <v/>
      </c>
      <c r="G127" s="85">
        <f t="shared" si="6"/>
        <v>0</v>
      </c>
    </row>
    <row r="128" spans="2:7">
      <c r="B128" s="84" t="str">
        <f>指标还原!S115</f>
        <v/>
      </c>
      <c r="C128" s="85">
        <f>正常测算!H115</f>
        <v>0</v>
      </c>
      <c r="D128" s="85">
        <f t="shared" si="5"/>
        <v>0</v>
      </c>
      <c r="E128" s="108" t="str">
        <f>IF(正常测算!$H$1="人民币电汇","0.00",IF(ISNUMBER(D127*$B$19*(B128-B127)/360),D127*$B$19*(B128-B127)/360,0))</f>
        <v>0.00</v>
      </c>
      <c r="F128" s="85" t="str">
        <f>指标还原!I115</f>
        <v/>
      </c>
      <c r="G128" s="85">
        <f t="shared" si="6"/>
        <v>0</v>
      </c>
    </row>
    <row r="129" spans="2:7">
      <c r="B129" s="84" t="str">
        <f>指标还原!S116</f>
        <v/>
      </c>
      <c r="C129" s="85">
        <f>正常测算!H116</f>
        <v>0</v>
      </c>
      <c r="D129" s="85">
        <f t="shared" si="5"/>
        <v>0</v>
      </c>
      <c r="E129" s="108" t="str">
        <f>IF(正常测算!$H$1="人民币电汇","0.00",IF(ISNUMBER(D128*$B$19*(B129-B128)/360),D128*$B$19*(B129-B128)/360,0))</f>
        <v>0.00</v>
      </c>
      <c r="F129" s="85" t="str">
        <f>指标还原!I116</f>
        <v/>
      </c>
      <c r="G129" s="85">
        <f t="shared" si="6"/>
        <v>0</v>
      </c>
    </row>
    <row r="130" spans="2:7">
      <c r="B130" s="84" t="str">
        <f>指标还原!S117</f>
        <v/>
      </c>
      <c r="C130" s="85">
        <f>正常测算!H117</f>
        <v>0</v>
      </c>
      <c r="D130" s="85">
        <f t="shared" si="5"/>
        <v>0</v>
      </c>
      <c r="E130" s="108" t="str">
        <f>IF(正常测算!$H$1="人民币电汇","0.00",IF(ISNUMBER(D129*$B$19*(B130-B129)/360),D129*$B$19*(B130-B129)/360,0))</f>
        <v>0.00</v>
      </c>
      <c r="F130" s="85" t="str">
        <f>指标还原!I117</f>
        <v/>
      </c>
      <c r="G130" s="85">
        <f t="shared" si="6"/>
        <v>0</v>
      </c>
    </row>
    <row r="131" spans="2:7">
      <c r="B131" s="84" t="str">
        <f>指标还原!S118</f>
        <v/>
      </c>
      <c r="C131" s="85">
        <f>正常测算!H118</f>
        <v>0</v>
      </c>
      <c r="D131" s="85">
        <f t="shared" si="5"/>
        <v>0</v>
      </c>
      <c r="E131" s="108" t="str">
        <f>IF(正常测算!$H$1="人民币电汇","0.00",IF(ISNUMBER(D130*$B$19*(B131-B130)/360),D130*$B$19*(B131-B130)/360,0))</f>
        <v>0.00</v>
      </c>
      <c r="F131" s="85" t="str">
        <f>指标还原!I118</f>
        <v/>
      </c>
      <c r="G131" s="85">
        <f t="shared" si="6"/>
        <v>0</v>
      </c>
    </row>
    <row r="132" spans="2:7">
      <c r="B132" s="84" t="str">
        <f>指标还原!S119</f>
        <v/>
      </c>
      <c r="C132" s="85">
        <f>正常测算!H119</f>
        <v>0</v>
      </c>
      <c r="D132" s="85">
        <f t="shared" si="5"/>
        <v>0</v>
      </c>
      <c r="E132" s="108" t="str">
        <f>IF(正常测算!$H$1="人民币电汇","0.00",IF(ISNUMBER(D131*$B$19*(B132-B131)/360),D131*$B$19*(B132-B131)/360,0))</f>
        <v>0.00</v>
      </c>
      <c r="F132" s="85" t="str">
        <f>指标还原!I119</f>
        <v/>
      </c>
      <c r="G132" s="85">
        <f t="shared" si="6"/>
        <v>0</v>
      </c>
    </row>
    <row r="133" spans="2:7">
      <c r="B133" s="84" t="str">
        <f>指标还原!S120</f>
        <v/>
      </c>
      <c r="C133" s="85">
        <f>正常测算!H120</f>
        <v>0</v>
      </c>
      <c r="D133" s="85">
        <f t="shared" si="5"/>
        <v>0</v>
      </c>
      <c r="E133" s="108" t="str">
        <f>IF(正常测算!$H$1="人民币电汇","0.00",IF(ISNUMBER(D132*$B$19*(B133-B132)/360),D132*$B$19*(B133-B132)/360,0))</f>
        <v>0.00</v>
      </c>
      <c r="F133" s="85" t="str">
        <f>指标还原!I120</f>
        <v/>
      </c>
      <c r="G133" s="85">
        <f t="shared" si="6"/>
        <v>0</v>
      </c>
    </row>
    <row r="134" spans="2:7">
      <c r="B134" s="84" t="str">
        <f>指标还原!S121</f>
        <v/>
      </c>
      <c r="C134" s="85">
        <f>正常测算!H121</f>
        <v>0</v>
      </c>
      <c r="D134" s="85">
        <f t="shared" si="5"/>
        <v>0</v>
      </c>
      <c r="E134" s="108" t="str">
        <f>IF(正常测算!$H$1="人民币电汇","0.00",IF(ISNUMBER(D133*$B$19*(B134-B133)/360),D133*$B$19*(B134-B133)/360,0))</f>
        <v>0.00</v>
      </c>
      <c r="F134" s="85" t="str">
        <f>指标还原!I121</f>
        <v/>
      </c>
      <c r="G134" s="85">
        <f t="shared" si="6"/>
        <v>0</v>
      </c>
    </row>
    <row r="135" spans="2:7">
      <c r="B135" s="84" t="str">
        <f>指标还原!S122</f>
        <v/>
      </c>
      <c r="C135" s="85">
        <f>正常测算!H122</f>
        <v>0</v>
      </c>
      <c r="D135" s="85">
        <f t="shared" si="5"/>
        <v>0</v>
      </c>
      <c r="E135" s="108" t="str">
        <f>IF(正常测算!$H$1="人民币电汇","0.00",IF(ISNUMBER(D134*$B$19*(B135-B134)/360),D134*$B$19*(B135-B134)/360,0))</f>
        <v>0.00</v>
      </c>
      <c r="F135" s="85" t="str">
        <f>指标还原!I122</f>
        <v/>
      </c>
      <c r="G135" s="85">
        <f t="shared" si="6"/>
        <v>0</v>
      </c>
    </row>
    <row r="136" spans="2:7">
      <c r="B136" s="84" t="str">
        <f>指标还原!S123</f>
        <v/>
      </c>
      <c r="C136" s="85">
        <f>正常测算!H123</f>
        <v>0</v>
      </c>
      <c r="D136" s="85">
        <f t="shared" si="5"/>
        <v>0</v>
      </c>
      <c r="E136" s="108" t="str">
        <f>IF(正常测算!$H$1="人民币电汇","0.00",IF(ISNUMBER(D135*$B$19*(B136-B135)/360),D135*$B$19*(B136-B135)/360,0))</f>
        <v>0.00</v>
      </c>
      <c r="F136" s="85" t="str">
        <f>指标还原!I123</f>
        <v/>
      </c>
      <c r="G136" s="85">
        <f t="shared" si="6"/>
        <v>0</v>
      </c>
    </row>
    <row r="137" spans="2:7">
      <c r="B137" s="84" t="str">
        <f>指标还原!S124</f>
        <v/>
      </c>
      <c r="C137" s="85">
        <f>正常测算!H124</f>
        <v>0</v>
      </c>
      <c r="D137" s="85">
        <f t="shared" si="5"/>
        <v>0</v>
      </c>
      <c r="E137" s="108" t="str">
        <f>IF(正常测算!$H$1="人民币电汇","0.00",IF(ISNUMBER(D136*$B$19*(B137-B136)/360),D136*$B$19*(B137-B136)/360,0))</f>
        <v>0.00</v>
      </c>
      <c r="F137" s="85" t="str">
        <f>指标还原!I124</f>
        <v/>
      </c>
      <c r="G137" s="85">
        <f t="shared" si="6"/>
        <v>0</v>
      </c>
    </row>
    <row r="138" spans="2:7">
      <c r="B138" s="84" t="str">
        <f>指标还原!S125</f>
        <v/>
      </c>
      <c r="C138" s="85">
        <f>正常测算!H125</f>
        <v>0</v>
      </c>
      <c r="D138" s="85">
        <f t="shared" si="5"/>
        <v>0</v>
      </c>
      <c r="E138" s="108" t="str">
        <f>IF(正常测算!$H$1="人民币电汇","0.00",IF(ISNUMBER(D137*$B$19*(B138-B137)/360),D137*$B$19*(B138-B137)/360,0))</f>
        <v>0.00</v>
      </c>
      <c r="F138" s="85" t="str">
        <f>指标还原!I125</f>
        <v/>
      </c>
      <c r="G138" s="85">
        <f t="shared" si="6"/>
        <v>0</v>
      </c>
    </row>
    <row r="139" spans="2:7">
      <c r="B139" s="84" t="str">
        <f>指标还原!S126</f>
        <v/>
      </c>
      <c r="C139" s="85">
        <f>正常测算!H126</f>
        <v>0</v>
      </c>
      <c r="D139" s="85">
        <f t="shared" si="5"/>
        <v>0</v>
      </c>
      <c r="E139" s="108" t="str">
        <f>IF(正常测算!$H$1="人民币电汇","0.00",IF(ISNUMBER(D138*$B$19*(B139-B138)/360),D138*$B$19*(B139-B138)/360,0))</f>
        <v>0.00</v>
      </c>
      <c r="F139" s="85" t="str">
        <f>指标还原!I126</f>
        <v/>
      </c>
      <c r="G139" s="85">
        <f t="shared" si="6"/>
        <v>0</v>
      </c>
    </row>
    <row r="140" spans="2:7">
      <c r="B140" s="84" t="str">
        <f>指标还原!S127</f>
        <v/>
      </c>
      <c r="C140" s="85">
        <f>正常测算!H127</f>
        <v>0</v>
      </c>
      <c r="D140" s="85">
        <f t="shared" si="5"/>
        <v>0</v>
      </c>
      <c r="E140" s="108" t="str">
        <f>IF(正常测算!$H$1="人民币电汇","0.00",IF(ISNUMBER(D139*$B$19*(B140-B139)/360),D139*$B$19*(B140-B139)/360,0))</f>
        <v>0.00</v>
      </c>
      <c r="F140" s="85" t="str">
        <f>指标还原!I127</f>
        <v/>
      </c>
      <c r="G140" s="85">
        <f t="shared" si="6"/>
        <v>0</v>
      </c>
    </row>
    <row r="141" spans="2:7">
      <c r="B141" s="84" t="str">
        <f>指标还原!S128</f>
        <v/>
      </c>
      <c r="C141" s="85">
        <f>正常测算!H128</f>
        <v>0</v>
      </c>
      <c r="D141" s="85">
        <f t="shared" si="5"/>
        <v>0</v>
      </c>
      <c r="E141" s="108" t="str">
        <f>IF(正常测算!$H$1="人民币电汇","0.00",IF(ISNUMBER(D140*$B$19*(B141-B140)/360),D140*$B$19*(B141-B140)/360,0))</f>
        <v>0.00</v>
      </c>
      <c r="F141" s="85" t="str">
        <f>指标还原!I128</f>
        <v/>
      </c>
      <c r="G141" s="85">
        <f t="shared" si="6"/>
        <v>0</v>
      </c>
    </row>
    <row r="142" spans="2:7">
      <c r="B142" s="84" t="str">
        <f>指标还原!S129</f>
        <v/>
      </c>
      <c r="C142" s="85">
        <f>正常测算!H129</f>
        <v>0</v>
      </c>
      <c r="D142" s="85">
        <f t="shared" si="5"/>
        <v>0</v>
      </c>
      <c r="E142" s="108" t="str">
        <f>IF(正常测算!$H$1="人民币电汇","0.00",IF(ISNUMBER(D141*$B$19*(B142-B141)/360),D141*$B$19*(B142-B141)/360,0))</f>
        <v>0.00</v>
      </c>
      <c r="F142" s="85" t="str">
        <f>指标还原!I129</f>
        <v/>
      </c>
      <c r="G142" s="85">
        <f t="shared" si="6"/>
        <v>0</v>
      </c>
    </row>
    <row r="143" spans="2:7">
      <c r="B143" s="84" t="str">
        <f>指标还原!S130</f>
        <v/>
      </c>
      <c r="C143" s="85">
        <f>正常测算!H130</f>
        <v>0</v>
      </c>
      <c r="D143" s="85">
        <f t="shared" si="5"/>
        <v>0</v>
      </c>
      <c r="E143" s="108" t="str">
        <f>IF(正常测算!$H$1="人民币电汇","0.00",IF(ISNUMBER(D142*$B$19*(B143-B142)/360),D142*$B$19*(B143-B142)/360,0))</f>
        <v>0.00</v>
      </c>
      <c r="F143" s="85" t="str">
        <f>指标还原!I130</f>
        <v/>
      </c>
      <c r="G143" s="85">
        <f t="shared" si="6"/>
        <v>0</v>
      </c>
    </row>
    <row r="144" spans="2:7">
      <c r="B144" s="84" t="str">
        <f>指标还原!S131</f>
        <v/>
      </c>
      <c r="C144" s="85">
        <f>正常测算!H131</f>
        <v>0</v>
      </c>
      <c r="D144" s="85">
        <f t="shared" si="5"/>
        <v>0</v>
      </c>
      <c r="E144" s="108" t="str">
        <f>IF(正常测算!$H$1="人民币电汇","0.00",IF(ISNUMBER(D143*$B$19*(B144-B143)/360),D143*$B$19*(B144-B143)/360,0))</f>
        <v>0.00</v>
      </c>
      <c r="F144" s="85" t="str">
        <f>指标还原!I131</f>
        <v/>
      </c>
      <c r="G144" s="85">
        <f t="shared" si="6"/>
        <v>0</v>
      </c>
    </row>
    <row r="145" spans="2:7">
      <c r="B145" s="84" t="str">
        <f>指标还原!S132</f>
        <v/>
      </c>
      <c r="C145" s="85">
        <f>正常测算!H132</f>
        <v>0</v>
      </c>
      <c r="D145" s="85">
        <f t="shared" si="5"/>
        <v>0</v>
      </c>
      <c r="E145" s="108" t="str">
        <f>IF(正常测算!$H$1="人民币电汇","0.00",IF(ISNUMBER(D144*$B$19*(B145-B144)/360),D144*$B$19*(B145-B144)/360,0))</f>
        <v>0.00</v>
      </c>
      <c r="F145" s="85" t="str">
        <f>指标还原!I132</f>
        <v/>
      </c>
      <c r="G145" s="85">
        <f t="shared" si="6"/>
        <v>0</v>
      </c>
    </row>
    <row r="146" spans="2:7">
      <c r="B146" s="84" t="str">
        <f>指标还原!S133</f>
        <v/>
      </c>
      <c r="C146" s="85">
        <f>正常测算!H133</f>
        <v>0</v>
      </c>
      <c r="D146" s="85">
        <f t="shared" si="5"/>
        <v>0</v>
      </c>
      <c r="E146" s="108" t="str">
        <f>IF(正常测算!$H$1="人民币电汇","0.00",IF(ISNUMBER(D145*$B$19*(B146-B145)/360),D145*$B$19*(B146-B145)/360,0))</f>
        <v>0.00</v>
      </c>
      <c r="F146" s="85" t="str">
        <f>指标还原!I133</f>
        <v/>
      </c>
      <c r="G146" s="85">
        <f t="shared" si="6"/>
        <v>0</v>
      </c>
    </row>
    <row r="147" spans="2:7">
      <c r="B147" s="84" t="str">
        <f>指标还原!S134</f>
        <v/>
      </c>
      <c r="C147" s="85">
        <f>正常测算!H134</f>
        <v>0</v>
      </c>
      <c r="D147" s="85">
        <f t="shared" si="5"/>
        <v>0</v>
      </c>
      <c r="E147" s="108" t="str">
        <f>IF(正常测算!$H$1="人民币电汇","0.00",IF(ISNUMBER(D146*$B$19*(B147-B146)/360),D146*$B$19*(B147-B146)/360,0))</f>
        <v>0.00</v>
      </c>
      <c r="F147" s="85">
        <f>指标还原!I134</f>
        <v>0</v>
      </c>
      <c r="G147" s="85">
        <f t="shared" si="6"/>
        <v>0</v>
      </c>
    </row>
  </sheetData>
  <phoneticPr fontId="2" type="noConversion"/>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99"/>
  </sheetPr>
  <dimension ref="A1:X22"/>
  <sheetViews>
    <sheetView zoomScale="90" zoomScaleNormal="90" workbookViewId="0">
      <selection activeCell="B20" sqref="B20"/>
    </sheetView>
  </sheetViews>
  <sheetFormatPr defaultRowHeight="14.25"/>
  <cols>
    <col min="1" max="1" width="24.25" style="181" customWidth="1"/>
    <col min="2" max="2" width="21.125" style="181" customWidth="1"/>
    <col min="3" max="4" width="13.875" style="181" bestFit="1" customWidth="1"/>
    <col min="5" max="5" width="18.375" style="181" bestFit="1" customWidth="1"/>
    <col min="6" max="6" width="8.625" style="181" bestFit="1" customWidth="1"/>
    <col min="7" max="7" width="11.625" style="181" bestFit="1" customWidth="1"/>
    <col min="8" max="8" width="9.5" style="181" bestFit="1" customWidth="1"/>
    <col min="9" max="9" width="11.625" style="181" bestFit="1" customWidth="1"/>
    <col min="10" max="10" width="16.125" style="181" bestFit="1" customWidth="1"/>
    <col min="11" max="12" width="11.625" style="181" customWidth="1"/>
    <col min="13" max="13" width="15.75" style="181" bestFit="1" customWidth="1"/>
    <col min="14" max="14" width="12.25" style="181" customWidth="1"/>
    <col min="15" max="15" width="13.875" style="181" bestFit="1" customWidth="1"/>
    <col min="16" max="16" width="11.875" style="181" bestFit="1" customWidth="1"/>
    <col min="17" max="17" width="9" style="181"/>
    <col min="18" max="18" width="13.75" style="181" bestFit="1" customWidth="1"/>
    <col min="19" max="19" width="16.5" style="181" bestFit="1" customWidth="1"/>
    <col min="20" max="20" width="24" style="181" bestFit="1" customWidth="1"/>
    <col min="21" max="21" width="13.75" style="181" bestFit="1" customWidth="1"/>
    <col min="22" max="23" width="22.25" style="181" bestFit="1" customWidth="1"/>
    <col min="24" max="24" width="17.5" style="181" bestFit="1" customWidth="1"/>
    <col min="25" max="16384" width="9" style="181"/>
  </cols>
  <sheetData>
    <row r="1" spans="1:15" s="182" customFormat="1" ht="18.75">
      <c r="A1" s="80" t="s">
        <v>79</v>
      </c>
      <c r="B1" s="100" t="str">
        <f>指标还原!H2</f>
        <v>No.20140325</v>
      </c>
      <c r="C1" s="224" t="s">
        <v>104</v>
      </c>
      <c r="D1" s="225"/>
      <c r="E1" s="225"/>
      <c r="F1" s="225"/>
      <c r="G1" s="225"/>
      <c r="H1" s="225"/>
      <c r="I1" s="225"/>
      <c r="J1" s="226"/>
      <c r="K1" s="228" t="s">
        <v>114</v>
      </c>
      <c r="L1" s="228"/>
    </row>
    <row r="2" spans="1:15" s="182" customFormat="1">
      <c r="A2" s="82" t="s">
        <v>71</v>
      </c>
      <c r="B2" s="104" t="s">
        <v>72</v>
      </c>
      <c r="C2" s="183" t="s">
        <v>106</v>
      </c>
      <c r="D2" s="184" t="s">
        <v>107</v>
      </c>
      <c r="E2" s="105" t="s">
        <v>109</v>
      </c>
      <c r="F2" s="105" t="s">
        <v>108</v>
      </c>
      <c r="G2" s="105" t="s">
        <v>103</v>
      </c>
      <c r="H2" s="105" t="s">
        <v>105</v>
      </c>
      <c r="I2" s="105" t="s">
        <v>102</v>
      </c>
      <c r="J2" s="105" t="s">
        <v>101</v>
      </c>
      <c r="K2" s="109" t="s">
        <v>112</v>
      </c>
      <c r="L2" s="109" t="s">
        <v>113</v>
      </c>
      <c r="M2" s="106" t="s">
        <v>110</v>
      </c>
    </row>
    <row r="3" spans="1:15" s="182" customFormat="1">
      <c r="A3" s="82" t="s">
        <v>82</v>
      </c>
      <c r="B3" s="101">
        <f>IF(指标还原!E5&lt;=产品成本表!D3,产品成本表!E3,IF(指标还原!E5&lt;=产品成本表!D4,产品成本表!E4,IF(指标还原!E5&lt;=产品成本表!D5,产品成本表!E5,IF(指标还原!E5&lt;=产品成本表!D6,产品成本表!E6,产品成本表!E7))))</f>
        <v>0.06</v>
      </c>
      <c r="C3" s="185">
        <f>IF(A3=正常测算!$H$1,(正常测算!$G$7/1.06),"")</f>
        <v>0</v>
      </c>
      <c r="D3" s="186">
        <f>IF(A3=正常测算!$H$1,(正常测算!$A$8/1.17),"")</f>
        <v>11297360.136752136</v>
      </c>
      <c r="E3" s="186">
        <f>IF(A3=正常测算!$H$1,SUM(指标还原!U:U)/1.17,"")</f>
        <v>5297672.229487882</v>
      </c>
      <c r="F3" s="186">
        <f>IF(A3=正常测算!$H$1,SUM(产品成本表!$E$24:$E$147),"")</f>
        <v>0</v>
      </c>
      <c r="G3" s="186">
        <f>IF(A3=正常测算!$H$1,((正常测算!$A$8/1.17*0.17+正常测算!$G$7/1.06*0.06-SUM(指标还原!U:U)/1.17*0.17)*13%),"")</f>
        <v>132593.10275054004</v>
      </c>
      <c r="H3" s="186">
        <f>IF(A3=正常测算!$H$1,(正常测算!$C$5*0.0003+正常测算!$P$5*0.00005),"")</f>
        <v>30033.611199999996</v>
      </c>
      <c r="I3" s="186">
        <f>IF(A3=正常测算!$H$1,正常测算!$A$6*0.0025*80%*正常测算!$E$5,"")</f>
        <v>1344.4480000000001</v>
      </c>
      <c r="J3" s="186">
        <f>IF(A3=正常测算!$H$1,正常测算!$C$5*0.00025*正常测算!$E$5,"")</f>
        <v>25000</v>
      </c>
      <c r="K3" s="187">
        <f>IF(A3=正常测算!$H$1,正常测算!$C$10,"")</f>
        <v>0</v>
      </c>
      <c r="L3" s="187">
        <f>IF(A3=正常测算!$H$1,正常测算!$G$5+正常测算!$G$6+正常测算!$G$8+正常测算!$G$9,"")</f>
        <v>0</v>
      </c>
      <c r="M3" s="188">
        <f>IFERROR(C3+D3-E3-F3-J3-I3-G3-H3+L3-K3,"")</f>
        <v>5810716.7453137143</v>
      </c>
      <c r="N3" s="189"/>
      <c r="O3" s="189"/>
    </row>
    <row r="4" spans="1:15" s="182" customFormat="1">
      <c r="A4" s="82" t="s">
        <v>88</v>
      </c>
      <c r="B4" s="102">
        <f>产品成本表!B4</f>
        <v>2.8000000000000001E-2</v>
      </c>
      <c r="C4" s="185" t="str">
        <f>IF(A4=正常测算!$H$1,(正常测算!$G$7/1.06),"")</f>
        <v/>
      </c>
      <c r="D4" s="186" t="str">
        <f>IF(A4=正常测算!$H$1,(正常测算!$A$8/1.17),"")</f>
        <v/>
      </c>
      <c r="E4" s="186" t="str">
        <f>IF(A4=正常测算!$H$1,SUM(指标还原!U:U)/1.17,"")</f>
        <v/>
      </c>
      <c r="F4" s="186" t="str">
        <f>IF(A4=正常测算!$H$1,SUM(产品成本表!$E$24:$E$147),"")</f>
        <v/>
      </c>
      <c r="G4" s="186" t="str">
        <f>IF(A4=正常测算!$H$1,((正常测算!$A$8/1.17*0.17+正常测算!$G$7/1.06*0.06-SUM(指标还原!U:U)/1.17*0.17)*13%),"")</f>
        <v/>
      </c>
      <c r="H4" s="186" t="str">
        <f>IF(A4=正常测算!$H$1,(正常测算!$C$5*0.0003+正常测算!$P$5*0.00005),"")</f>
        <v/>
      </c>
      <c r="I4" s="186" t="str">
        <f>IF(A4=正常测算!$H$1,正常测算!$A$6*0.0025*80%*正常测算!$E$5,"")</f>
        <v/>
      </c>
      <c r="J4" s="186" t="str">
        <f>IF(A4=正常测算!$H$1,正常测算!$C$5*0.00025*正常测算!$E$5,"")</f>
        <v/>
      </c>
      <c r="K4" s="187" t="str">
        <f>IF(A4=正常测算!$H$1,正常测算!$C$10,"")</f>
        <v/>
      </c>
      <c r="L4" s="187" t="str">
        <f>IF(A4=正常测算!$H$1,正常测算!$G$5+正常测算!$G$6+正常测算!$G$8+正常测算!$G$9,"")</f>
        <v/>
      </c>
      <c r="M4" s="188" t="str">
        <f t="shared" ref="M4:M17" si="0">IFERROR(C4+D4-E4-F4-J4-I4-G4-H4+L4-K4,"")</f>
        <v/>
      </c>
      <c r="N4" s="189"/>
      <c r="O4" s="189"/>
    </row>
    <row r="5" spans="1:15" s="182" customFormat="1">
      <c r="A5" s="82" t="s">
        <v>75</v>
      </c>
      <c r="B5" s="102">
        <f>产品成本表!B5</f>
        <v>2.1999999999999999E-2</v>
      </c>
      <c r="C5" s="185" t="str">
        <f>IF(A5=正常测算!$H$1,(正常测算!$G$7/1.06),"")</f>
        <v/>
      </c>
      <c r="D5" s="186" t="str">
        <f>IF(A5=正常测算!$H$1,(正常测算!$A$8/1.17),"")</f>
        <v/>
      </c>
      <c r="E5" s="186" t="str">
        <f>IF(A5=正常测算!$H$1,SUM(指标还原!U:U)/1.17,"")</f>
        <v/>
      </c>
      <c r="F5" s="186" t="str">
        <f>IF(A5=正常测算!$H$1,SUM(产品成本表!$E$24:$E$147),"")</f>
        <v/>
      </c>
      <c r="G5" s="186" t="str">
        <f>IF(A5=正常测算!$H$1,((正常测算!$A$8/1.17*0.17+正常测算!$G$7/1.06*0.06-SUM(指标还原!U:U)/1.17*0.17)*13%),"")</f>
        <v/>
      </c>
      <c r="H5" s="186" t="str">
        <f>IF(A5=正常测算!$H$1,(正常测算!$C$5*0.0003+正常测算!$P$5*0.00005),"")</f>
        <v/>
      </c>
      <c r="I5" s="186" t="str">
        <f>IF(A5=正常测算!$H$1,正常测算!$A$6*0.0025*80%*正常测算!$E$5,"")</f>
        <v/>
      </c>
      <c r="J5" s="186" t="str">
        <f>IF(A5=正常测算!$H$1,正常测算!$C$5*0.00025*正常测算!$E$5,"")</f>
        <v/>
      </c>
      <c r="K5" s="187" t="str">
        <f>IF(A5=正常测算!$H$1,正常测算!$C$10,"")</f>
        <v/>
      </c>
      <c r="L5" s="187" t="str">
        <f>IF(A5=正常测算!$H$1,正常测算!$G$5+正常测算!$G$6+正常测算!$G$8+正常测算!$G$9,"")</f>
        <v/>
      </c>
      <c r="M5" s="188" t="str">
        <f t="shared" si="0"/>
        <v/>
      </c>
      <c r="N5" s="189"/>
      <c r="O5" s="189"/>
    </row>
    <row r="6" spans="1:15" s="182" customFormat="1">
      <c r="A6" s="82" t="s">
        <v>89</v>
      </c>
      <c r="B6" s="102">
        <f>产品成本表!B6</f>
        <v>3.5000000000000003E-2</v>
      </c>
      <c r="C6" s="185" t="str">
        <f>IF(A6=正常测算!$H$1,(正常测算!$G$7/1.06),"")</f>
        <v/>
      </c>
      <c r="D6" s="186" t="str">
        <f>IF(A6=正常测算!$H$1,(正常测算!$A$8/1.17),"")</f>
        <v/>
      </c>
      <c r="E6" s="186" t="str">
        <f>IF(A6=正常测算!$H$1,SUM(指标还原!U:U)/1.17,"")</f>
        <v/>
      </c>
      <c r="F6" s="186" t="str">
        <f>IF(A6=正常测算!$H$1,SUM(产品成本表!$E$24:$E$147),"")</f>
        <v/>
      </c>
      <c r="G6" s="186" t="str">
        <f>IF(A6=正常测算!$H$1,((正常测算!$A$8/1.17*0.17+正常测算!$G$7/1.06*0.06-SUM(指标还原!U:U)/1.17*0.17)*13%),"")</f>
        <v/>
      </c>
      <c r="H6" s="186" t="str">
        <f>IF(A6=正常测算!$H$1,(正常测算!$C$5*0.0003+正常测算!$P$5*0.00005),"")</f>
        <v/>
      </c>
      <c r="I6" s="186" t="str">
        <f>IF(A6=正常测算!$H$1,正常测算!$A$6*0.0025*80%*正常测算!$E$5,"")</f>
        <v/>
      </c>
      <c r="J6" s="186" t="str">
        <f>IF(A6=正常测算!$H$1,正常测算!$C$5*0.00025*正常测算!$E$5,"")</f>
        <v/>
      </c>
      <c r="K6" s="187" t="str">
        <f>IF(A6=正常测算!$H$1,正常测算!$C$10,"")</f>
        <v/>
      </c>
      <c r="L6" s="187" t="str">
        <f>IF(A6=正常测算!$H$1,正常测算!$G$5+正常测算!$G$6+正常测算!$G$8+正常测算!$G$9,"")</f>
        <v/>
      </c>
      <c r="M6" s="188" t="str">
        <f t="shared" si="0"/>
        <v/>
      </c>
      <c r="N6" s="189"/>
      <c r="O6" s="189"/>
    </row>
    <row r="7" spans="1:15" s="182" customFormat="1">
      <c r="A7" s="82" t="s">
        <v>90</v>
      </c>
      <c r="B7" s="103">
        <f>产品成本表!B7</f>
        <v>2.2400000000000003E-2</v>
      </c>
      <c r="C7" s="185" t="str">
        <f>IF(A7=正常测算!$H$1,(正常测算!$G$7/1.06),"")</f>
        <v/>
      </c>
      <c r="D7" s="186" t="str">
        <f>IF(A7=正常测算!$H$1,(正常测算!$A$8/1.17),"")</f>
        <v/>
      </c>
      <c r="E7" s="186" t="str">
        <f>IF(A7=正常测算!$H$1,SUM(指标还原!U:U)/1.17,"")</f>
        <v/>
      </c>
      <c r="F7" s="186" t="str">
        <f>IF(A7=正常测算!$H$1,SUM(产品成本表!$E$24:$E$147),"")</f>
        <v/>
      </c>
      <c r="G7" s="186" t="str">
        <f>IF(A7=正常测算!$H$1,((正常测算!$A$8/1.17*0.17+正常测算!$G$7/1.06*0.06-SUM(指标还原!U:U)/1.17*0.17)*13%),"")</f>
        <v/>
      </c>
      <c r="H7" s="186" t="str">
        <f>IF(A7=正常测算!$H$1,(正常测算!$C$5*0.0003+正常测算!$P$5*0.00005),"")</f>
        <v/>
      </c>
      <c r="I7" s="186" t="str">
        <f>IF(A7=正常测算!$H$1,正常测算!$A$6*0.0025*80%*正常测算!$E$5,"")</f>
        <v/>
      </c>
      <c r="J7" s="186" t="str">
        <f>IF(A7=正常测算!$H$1,正常测算!$C$5*0.00025*正常测算!$E$5,"")</f>
        <v/>
      </c>
      <c r="K7" s="187" t="str">
        <f>IF(A7=正常测算!$H$1,正常测算!$C$10,"")</f>
        <v/>
      </c>
      <c r="L7" s="187" t="str">
        <f>IF(A7=正常测算!$H$1,正常测算!$G$5+正常测算!$G$6+正常测算!$G$8+正常测算!$G$9,"")</f>
        <v/>
      </c>
      <c r="M7" s="188" t="str">
        <f t="shared" si="0"/>
        <v/>
      </c>
      <c r="N7" s="189"/>
      <c r="O7" s="189"/>
    </row>
    <row r="8" spans="1:15" s="182" customFormat="1">
      <c r="A8" s="82" t="s">
        <v>91</v>
      </c>
      <c r="B8" s="103">
        <f>产品成本表!B8</f>
        <v>1.7600000000000001E-2</v>
      </c>
      <c r="C8" s="185" t="str">
        <f>IF(A8=正常测算!$H$1,(正常测算!$G$7/1.06),"")</f>
        <v/>
      </c>
      <c r="D8" s="186" t="str">
        <f>IF(A8=正常测算!$H$1,(正常测算!$A$8/1.17),"")</f>
        <v/>
      </c>
      <c r="E8" s="186" t="str">
        <f>IF(A8=正常测算!$H$1,SUM(指标还原!U:U)/1.17,"")</f>
        <v/>
      </c>
      <c r="F8" s="186" t="str">
        <f>IF(A8=正常测算!$H$1,SUM(产品成本表!$E$24:$E$147),"")</f>
        <v/>
      </c>
      <c r="G8" s="186" t="str">
        <f>IF(A8=正常测算!$H$1,((正常测算!$A$8/1.17*0.17+正常测算!$G$7/1.06*0.06-SUM(指标还原!U:U)/1.17*0.17)*13%),"")</f>
        <v/>
      </c>
      <c r="H8" s="186" t="str">
        <f>IF(A8=正常测算!$H$1,(正常测算!$C$5*0.0003+正常测算!$P$5*0.00005),"")</f>
        <v/>
      </c>
      <c r="I8" s="186" t="str">
        <f>IF(A8=正常测算!$H$1,正常测算!$A$6*0.0025*80%*正常测算!$E$5,"")</f>
        <v/>
      </c>
      <c r="J8" s="186" t="str">
        <f>IF(A8=正常测算!$H$1,正常测算!$C$5*0.00025*正常测算!$E$5,"")</f>
        <v/>
      </c>
      <c r="K8" s="187" t="str">
        <f>IF(A8=正常测算!$H$1,正常测算!$C$10,"")</f>
        <v/>
      </c>
      <c r="L8" s="187" t="str">
        <f>IF(A8=正常测算!$H$1,正常测算!$G$5+正常测算!$G$6+正常测算!$G$8+正常测算!$G$9,"")</f>
        <v/>
      </c>
      <c r="M8" s="188" t="str">
        <f t="shared" si="0"/>
        <v/>
      </c>
      <c r="N8" s="189"/>
      <c r="O8" s="189"/>
    </row>
    <row r="9" spans="1:15" s="182" customFormat="1">
      <c r="A9" s="82" t="s">
        <v>92</v>
      </c>
      <c r="B9" s="103">
        <f>产品成本表!B9</f>
        <v>2.8000000000000004E-2</v>
      </c>
      <c r="C9" s="185" t="str">
        <f>IF(A9=正常测算!$H$1,(正常测算!$G$7/1.06),"")</f>
        <v/>
      </c>
      <c r="D9" s="186" t="str">
        <f>IF(A9=正常测算!$H$1,(正常测算!$A$8/1.17),"")</f>
        <v/>
      </c>
      <c r="E9" s="186" t="str">
        <f>IF(A9=正常测算!$H$1,SUM(指标还原!U:U)/1.17,"")</f>
        <v/>
      </c>
      <c r="F9" s="186" t="str">
        <f>IF(A9=正常测算!$H$1,SUM(产品成本表!$E$24:$E$147),"")</f>
        <v/>
      </c>
      <c r="G9" s="186" t="str">
        <f>IF(A9=正常测算!$H$1,((正常测算!$A$8/1.17*0.17+正常测算!$G$7/1.06*0.06-SUM(指标还原!U:U)/1.17*0.17)*13%),"")</f>
        <v/>
      </c>
      <c r="H9" s="186" t="str">
        <f>IF(A9=正常测算!$H$1,(正常测算!$C$5*0.0003+正常测算!$P$5*0.00005),"")</f>
        <v/>
      </c>
      <c r="I9" s="186" t="str">
        <f>IF(A9=正常测算!$H$1,正常测算!$A$6*0.0025*80%*正常测算!$E$5,"")</f>
        <v/>
      </c>
      <c r="J9" s="186" t="str">
        <f>IF(A9=正常测算!$H$1,正常测算!$C$5*0.00025*正常测算!$E$5,"")</f>
        <v/>
      </c>
      <c r="K9" s="187" t="str">
        <f>IF(A9=正常测算!$H$1,正常测算!$C$10,"")</f>
        <v/>
      </c>
      <c r="L9" s="187" t="str">
        <f>IF(A9=正常测算!$H$1,正常测算!$G$5+正常测算!$G$6+正常测算!$G$8+正常测算!$G$9,"")</f>
        <v/>
      </c>
      <c r="M9" s="188" t="str">
        <f t="shared" si="0"/>
        <v/>
      </c>
      <c r="N9" s="189"/>
      <c r="O9" s="189"/>
    </row>
    <row r="10" spans="1:15" s="182" customFormat="1">
      <c r="A10" s="82" t="s">
        <v>76</v>
      </c>
      <c r="B10" s="102">
        <f>产品成本表!B10</f>
        <v>0</v>
      </c>
      <c r="C10" s="185" t="str">
        <f>IF(A10=正常测算!$H$1,(正常测算!$G$7/1.06),"")</f>
        <v/>
      </c>
      <c r="D10" s="186" t="str">
        <f>IF(A10=正常测算!$H$1,(正常测算!$A$8/1.17),"")</f>
        <v/>
      </c>
      <c r="E10" s="186" t="str">
        <f>IF(A10=正常测算!$H$1,SUM(指标还原!U:U)/1.17,"")</f>
        <v/>
      </c>
      <c r="F10" s="186" t="str">
        <f>IF(A10=正常测算!$H$1,SUM(产品成本表!$E$24:$E$147),"")</f>
        <v/>
      </c>
      <c r="G10" s="186" t="str">
        <f>IF(A10=正常测算!$H$1,((正常测算!$A$8/1.17*0.17+正常测算!$G$7/1.06*0.06-SUM(指标还原!U:U)/1.17*0.17)*13%),"")</f>
        <v/>
      </c>
      <c r="H10" s="186" t="str">
        <f>IF(A10=正常测算!$H$1,(正常测算!$C$5*0.0003+正常测算!$P$5*0.00005),"")</f>
        <v/>
      </c>
      <c r="I10" s="186" t="str">
        <f>IF(A10=正常测算!$H$1,正常测算!$A$6*0.0025*80%*正常测算!$E$5,"")</f>
        <v/>
      </c>
      <c r="J10" s="186" t="str">
        <f>IF(A10=正常测算!$H$1,正常测算!$C$5*0.00025*正常测算!$E$5,"")</f>
        <v/>
      </c>
      <c r="K10" s="187" t="str">
        <f>IF(A10=正常测算!$H$1,正常测算!$C$10,"")</f>
        <v/>
      </c>
      <c r="L10" s="187" t="str">
        <f>IF(A10=正常测算!$H$1,正常测算!$G$5+正常测算!$G$6+正常测算!$G$8+正常测算!$G$9,"")</f>
        <v/>
      </c>
      <c r="M10" s="188" t="str">
        <f t="shared" si="0"/>
        <v/>
      </c>
      <c r="N10" s="189"/>
      <c r="O10" s="189"/>
    </row>
    <row r="11" spans="1:15" s="182" customFormat="1">
      <c r="A11" s="82" t="s">
        <v>77</v>
      </c>
      <c r="B11" s="102">
        <f>产品成本表!B11</f>
        <v>2.1000000000000001E-2</v>
      </c>
      <c r="C11" s="185" t="str">
        <f>IF(A11=正常测算!$H$1,(正常测算!$G$7/1.06),"")</f>
        <v/>
      </c>
      <c r="D11" s="186" t="str">
        <f>IF(A11=正常测算!$H$1,(正常测算!$A$8/1.17),"")</f>
        <v/>
      </c>
      <c r="E11" s="186" t="str">
        <f>IF(A11=正常测算!$H$1,SUM(指标还原!U:U)/1.17,"")</f>
        <v/>
      </c>
      <c r="F11" s="186" t="str">
        <f>IF(A11=正常测算!$H$1,SUM(产品成本表!$E$24:$E$147),"")</f>
        <v/>
      </c>
      <c r="G11" s="186" t="str">
        <f>IF(A11=正常测算!$H$1,((正常测算!$A$8/1.17*0.17+正常测算!$G$7/1.06*0.06-SUM(指标还原!U:U)/1.17*0.17)*13%),"")</f>
        <v/>
      </c>
      <c r="H11" s="186" t="str">
        <f>IF(A11=正常测算!$H$1,(正常测算!$C$5*0.0003+正常测算!$P$5*0.00005),"")</f>
        <v/>
      </c>
      <c r="I11" s="186" t="str">
        <f>IF(A11=正常测算!$H$1,正常测算!$A$6*0.0025*80%*正常测算!$E$5,"")</f>
        <v/>
      </c>
      <c r="J11" s="186" t="str">
        <f>IF(A11=正常测算!$H$1,正常测算!$C$5*0.00025*正常测算!$E$5,"")</f>
        <v/>
      </c>
      <c r="K11" s="187" t="str">
        <f>IF(A11=正常测算!$H$1,正常测算!$C$10,"")</f>
        <v/>
      </c>
      <c r="L11" s="187" t="str">
        <f>IF(A11=正常测算!$H$1,正常测算!$G$5+正常测算!$G$6+正常测算!$G$8+正常测算!$G$9,"")</f>
        <v/>
      </c>
      <c r="M11" s="188" t="str">
        <f t="shared" si="0"/>
        <v/>
      </c>
      <c r="N11" s="189"/>
      <c r="O11" s="189"/>
    </row>
    <row r="12" spans="1:15" s="182" customFormat="1">
      <c r="A12" s="82" t="s">
        <v>78</v>
      </c>
      <c r="B12" s="102">
        <f>产品成本表!B12</f>
        <v>2.3E-2</v>
      </c>
      <c r="C12" s="185" t="str">
        <f>IF(A12=正常测算!$H$1,(正常测算!$G$7/1.06),"")</f>
        <v/>
      </c>
      <c r="D12" s="186" t="str">
        <f>IF(A12=正常测算!$H$1,(正常测算!$A$8/1.17),"")</f>
        <v/>
      </c>
      <c r="E12" s="186" t="str">
        <f>IF(A12=正常测算!$H$1,SUM(指标还原!U:U)/1.17,"")</f>
        <v/>
      </c>
      <c r="F12" s="186" t="str">
        <f>IF(A12=正常测算!$H$1,SUM(产品成本表!$E$24:$E$147),"")</f>
        <v/>
      </c>
      <c r="G12" s="186" t="str">
        <f>IF(A12=正常测算!$H$1,((正常测算!$A$8/1.17*0.17+正常测算!$G$7/1.06*0.06-SUM(指标还原!U:U)/1.17*0.17)*13%),"")</f>
        <v/>
      </c>
      <c r="H12" s="186" t="str">
        <f>IF(A12=正常测算!$H$1,(正常测算!$C$5*0.0003+正常测算!$P$5*0.00005),"")</f>
        <v/>
      </c>
      <c r="I12" s="186" t="str">
        <f>IF(A12=正常测算!$H$1,正常测算!$A$6*0.0025*80%*正常测算!$E$5,"")</f>
        <v/>
      </c>
      <c r="J12" s="186" t="str">
        <f>IF(A12=正常测算!$H$1,正常测算!$C$5*0.00025*正常测算!$E$5,"")</f>
        <v/>
      </c>
      <c r="K12" s="187" t="str">
        <f>IF(A12=正常测算!$H$1,正常测算!$C$10,"")</f>
        <v/>
      </c>
      <c r="L12" s="187" t="str">
        <f>IF(A12=正常测算!$H$1,正常测算!$G$5+正常测算!$G$6+正常测算!$G$8+正常测算!$G$9,"")</f>
        <v/>
      </c>
      <c r="M12" s="188" t="str">
        <f t="shared" si="0"/>
        <v/>
      </c>
      <c r="N12" s="189"/>
      <c r="O12" s="189"/>
    </row>
    <row r="13" spans="1:15" s="182" customFormat="1">
      <c r="A13" s="82" t="s">
        <v>98</v>
      </c>
      <c r="B13" s="102">
        <f>产品成本表!B13</f>
        <v>2.5000000000000001E-2</v>
      </c>
      <c r="C13" s="185" t="str">
        <f>IF(A13=正常测算!$H$1,(正常测算!$G$7/1.06),"")</f>
        <v/>
      </c>
      <c r="D13" s="186" t="str">
        <f>IF(A13=正常测算!$H$1,(正常测算!$A$8/1.17),"")</f>
        <v/>
      </c>
      <c r="E13" s="186" t="str">
        <f>IF(A13=正常测算!$H$1,SUM(指标还原!U:U)/1.17,"")</f>
        <v/>
      </c>
      <c r="F13" s="186" t="str">
        <f>IF(A13=正常测算!$H$1,SUM(产品成本表!$E$24:$E$147),"")</f>
        <v/>
      </c>
      <c r="G13" s="186" t="str">
        <f>IF(A13=正常测算!$H$1,((正常测算!$A$8/1.17*0.17+正常测算!$G$7/1.06*0.06-SUM(指标还原!U:U)/1.17*0.17)*13%),"")</f>
        <v/>
      </c>
      <c r="H13" s="186" t="str">
        <f>IF(A13=正常测算!$H$1,(正常测算!$C$5*0.0003+正常测算!$P$5*0.00005),"")</f>
        <v/>
      </c>
      <c r="I13" s="186" t="str">
        <f>IF(A13=正常测算!$H$1,正常测算!$A$6*0.0025*80%*正常测算!$E$5,"")</f>
        <v/>
      </c>
      <c r="J13" s="186" t="str">
        <f>IF(A13=正常测算!$H$1,正常测算!$C$5*0.00025*正常测算!$E$5,"")</f>
        <v/>
      </c>
      <c r="K13" s="187" t="str">
        <f>IF(A13=正常测算!$H$1,正常测算!$C$10,"")</f>
        <v/>
      </c>
      <c r="L13" s="187" t="str">
        <f>IF(A13=正常测算!$H$1,正常测算!$G$5+正常测算!$G$6+正常测算!$G$8+正常测算!$G$9,"")</f>
        <v/>
      </c>
      <c r="M13" s="188" t="str">
        <f t="shared" si="0"/>
        <v/>
      </c>
      <c r="N13" s="189"/>
      <c r="O13" s="189"/>
    </row>
    <row r="14" spans="1:15" s="182" customFormat="1">
      <c r="A14" s="82" t="s">
        <v>97</v>
      </c>
      <c r="B14" s="102">
        <f>产品成本表!B14</f>
        <v>0.03</v>
      </c>
      <c r="C14" s="185" t="str">
        <f>IF(A14=正常测算!$H$1,(正常测算!$G$7/1.06),"")</f>
        <v/>
      </c>
      <c r="D14" s="186" t="str">
        <f>IF(A14=正常测算!$H$1,(正常测算!$A$8/1.17),"")</f>
        <v/>
      </c>
      <c r="E14" s="186" t="str">
        <f>IF(A14=正常测算!$H$1,SUM(指标还原!U:U)/1.17,"")</f>
        <v/>
      </c>
      <c r="F14" s="186" t="str">
        <f>IF(A14=正常测算!$H$1,SUM(产品成本表!$E$24:$E$147),"")</f>
        <v/>
      </c>
      <c r="G14" s="186" t="str">
        <f>IF(A14=正常测算!$H$1,((正常测算!$A$8/1.17*0.17+正常测算!$G$7/1.06*0.06-SUM(指标还原!U:U)/1.17*0.17)*13%),"")</f>
        <v/>
      </c>
      <c r="H14" s="186" t="str">
        <f>IF(A14=正常测算!$H$1,(正常测算!$C$5*0.0003+正常测算!$P$5*0.00005),"")</f>
        <v/>
      </c>
      <c r="I14" s="186" t="str">
        <f>IF(A14=正常测算!$H$1,正常测算!$A$6*0.0025*80%*正常测算!$E$5,"")</f>
        <v/>
      </c>
      <c r="J14" s="186" t="str">
        <f>IF(A14=正常测算!$H$1,正常测算!$C$5*0.00025*正常测算!$E$5,"")</f>
        <v/>
      </c>
      <c r="K14" s="187" t="str">
        <f>IF(A14=正常测算!$H$1,正常测算!$C$10,"")</f>
        <v/>
      </c>
      <c r="L14" s="187" t="str">
        <f>IF(A14=正常测算!$H$1,正常测算!$G$5+正常测算!$G$6+正常测算!$G$8+正常测算!$G$9,"")</f>
        <v/>
      </c>
      <c r="M14" s="188" t="str">
        <f t="shared" si="0"/>
        <v/>
      </c>
      <c r="N14" s="189"/>
      <c r="O14" s="189"/>
    </row>
    <row r="15" spans="1:15" s="182" customFormat="1">
      <c r="A15" s="82" t="s">
        <v>73</v>
      </c>
      <c r="B15" s="101">
        <f>产品成本表!B15</f>
        <v>4.8000000000000001E-2</v>
      </c>
      <c r="C15" s="185" t="str">
        <f>IF(A15=正常测算!$H$1,(正常测算!$G$7/1.06),"")</f>
        <v/>
      </c>
      <c r="D15" s="186" t="str">
        <f>IF(A15=正常测算!$H$1,(正常测算!$A$8/1.17),"")</f>
        <v/>
      </c>
      <c r="E15" s="186" t="str">
        <f>IF(A15=正常测算!$H$1,SUM(指标还原!U:U)/1.17*0.8,"")</f>
        <v/>
      </c>
      <c r="F15" s="186" t="str">
        <f>IF(A15=正常测算!$H$1,SUM(产品成本表!$E$24:$E$147),"")</f>
        <v/>
      </c>
      <c r="G15" s="186" t="str">
        <f>IF(A15=正常测算!$H$1,((正常测算!$A$8/1.17*0.17+正常测算!$G$7/1.06*0.06-SUM(指标还原!U:U)/1.17*0.17)*13%),"")</f>
        <v/>
      </c>
      <c r="H15" s="186" t="str">
        <f>IF(A15=正常测算!$H$1,(正常测算!$C$5*0.0003+正常测算!$P$5*0.00005),"")</f>
        <v/>
      </c>
      <c r="I15" s="186" t="str">
        <f>IF(A15=正常测算!$H$1,正常测算!$A$6*0.0025*80%*正常测算!$E$5,"")</f>
        <v/>
      </c>
      <c r="J15" s="186" t="str">
        <f>IF(A15=正常测算!$H$1,正常测算!$C$5*0.00025*正常测算!$E$5,"")</f>
        <v/>
      </c>
      <c r="K15" s="187" t="str">
        <f>IF(A15=正常测算!$H$1,正常测算!$C$10,"")</f>
        <v/>
      </c>
      <c r="L15" s="187" t="str">
        <f>IF(A15=正常测算!$H$1,正常测算!$G$5+正常测算!$G$6+正常测算!$G$8+正常测算!$G$9,"")</f>
        <v/>
      </c>
      <c r="M15" s="188" t="str">
        <f t="shared" si="0"/>
        <v/>
      </c>
      <c r="N15" s="189"/>
      <c r="O15" s="189"/>
    </row>
    <row r="16" spans="1:15" s="182" customFormat="1">
      <c r="A16" s="82" t="s">
        <v>74</v>
      </c>
      <c r="B16" s="101">
        <f>产品成本表!B16</f>
        <v>4.8000000000000001E-2</v>
      </c>
      <c r="C16" s="185" t="str">
        <f>IF(A16=正常测算!$H$1,(正常测算!$G$7/1.06),"")</f>
        <v/>
      </c>
      <c r="D16" s="186" t="str">
        <f>IF(A16=正常测算!$H$1,(正常测算!$A$8/1.17),"")</f>
        <v/>
      </c>
      <c r="E16" s="186" t="str">
        <f>IF(A16=正常测算!$H$1,SUM(指标还原!U:U)/1.17*0.8,"")</f>
        <v/>
      </c>
      <c r="F16" s="186" t="str">
        <f>IF(A16=正常测算!$H$1,SUM(产品成本表!$E$24:$E$147),"")</f>
        <v/>
      </c>
      <c r="G16" s="186" t="str">
        <f>IF(A16=正常测算!$H$1,((正常测算!$A$8/1.17*0.17+正常测算!$G$7/1.06*0.06-SUM(指标还原!U:U)/1.17*0.17)*13%),"")</f>
        <v/>
      </c>
      <c r="H16" s="186" t="str">
        <f>IF(A16=正常测算!$H$1,(正常测算!$C$5*0.0003+正常测算!$P$5*0.00005),"")</f>
        <v/>
      </c>
      <c r="I16" s="186" t="str">
        <f>IF(A16=正常测算!$H$1,正常测算!$A$6*0.0025*80%*正常测算!$E$5,"")</f>
        <v/>
      </c>
      <c r="J16" s="186" t="str">
        <f>IF(A16=正常测算!$H$1,正常测算!$C$5*0.00025*正常测算!$E$5,"")</f>
        <v/>
      </c>
      <c r="K16" s="187" t="str">
        <f>IF(A16=正常测算!$H$1,正常测算!$C$10,"")</f>
        <v/>
      </c>
      <c r="L16" s="187" t="str">
        <f>IF(A16=正常测算!$H$1,正常测算!$G$5+正常测算!$G$6+正常测算!$G$8+正常测算!$G$9,"")</f>
        <v/>
      </c>
      <c r="M16" s="188" t="str">
        <f t="shared" si="0"/>
        <v/>
      </c>
      <c r="N16" s="189"/>
      <c r="O16" s="189"/>
    </row>
    <row r="17" spans="1:24" s="182" customFormat="1">
      <c r="A17" s="82" t="s">
        <v>136</v>
      </c>
      <c r="B17" s="102">
        <f>产品成本表!B17</f>
        <v>0.03</v>
      </c>
      <c r="C17" s="190" t="str">
        <f>IF(A17=正常测算!$H$1,(正常测算!$G$7/1.06),"")</f>
        <v/>
      </c>
      <c r="D17" s="191" t="str">
        <f>IF(A17=正常测算!$H$1,(正常测算!$A$8/1.17),"")</f>
        <v/>
      </c>
      <c r="E17" s="191" t="str">
        <f>IF(A17=正常测算!$H$1,SUM(指标还原!U:U)/1.17,"")</f>
        <v/>
      </c>
      <c r="F17" s="191" t="str">
        <f>IF(A17=正常测算!$H$1,SUM(产品成本表!$E$24:$E$147),"")</f>
        <v/>
      </c>
      <c r="G17" s="191" t="str">
        <f>IF(A17=正常测算!$H$1,((正常测算!$A$8/1.17*0.17+正常测算!$G$7/1.06*0.06-SUM(指标还原!U:U)/1.17*0.17)*13%),"")</f>
        <v/>
      </c>
      <c r="H17" s="191" t="str">
        <f>IF(A17=正常测算!$H$1,(正常测算!$C$5*0.0003+正常测算!$P$5*0.00005),"")</f>
        <v/>
      </c>
      <c r="I17" s="191" t="str">
        <f>IF(A17=正常测算!$H$1,正常测算!$A$6*0.0025*80%*正常测算!$E$5,"")</f>
        <v/>
      </c>
      <c r="J17" s="191" t="str">
        <f>IF(A17=正常测算!$H$1,正常测算!$C$5*0.00025*正常测算!$E$5,"")</f>
        <v/>
      </c>
      <c r="K17" s="192" t="str">
        <f>IF(A17=正常测算!$H$1,正常测算!$C$10,"")</f>
        <v/>
      </c>
      <c r="L17" s="192" t="str">
        <f>IF(A17=正常测算!$H$1,正常测算!$G$5+正常测算!$G$6+正常测算!$G$8+正常测算!$G$9,"")</f>
        <v/>
      </c>
      <c r="M17" s="193" t="str">
        <f t="shared" si="0"/>
        <v/>
      </c>
      <c r="N17" s="189"/>
      <c r="O17" s="189"/>
    </row>
    <row r="18" spans="1:24" s="182" customFormat="1" ht="91.5" customHeight="1">
      <c r="A18" s="227" t="s">
        <v>115</v>
      </c>
      <c r="B18" s="227"/>
      <c r="C18" s="227"/>
      <c r="D18" s="227"/>
      <c r="E18" s="227"/>
      <c r="F18" s="227"/>
      <c r="G18" s="227"/>
      <c r="H18" s="227"/>
      <c r="I18" s="227"/>
      <c r="J18" s="227"/>
      <c r="K18" s="227"/>
      <c r="L18" s="227"/>
      <c r="M18" s="227"/>
    </row>
    <row r="20" spans="1:24" s="200" customFormat="1" ht="12"/>
    <row r="21" spans="1:24" s="204" customFormat="1">
      <c r="A21" s="201"/>
      <c r="B21" s="201"/>
      <c r="C21" s="201"/>
      <c r="D21" s="202"/>
      <c r="E21" s="203"/>
      <c r="H21" s="201"/>
      <c r="I21" s="201"/>
      <c r="J21" s="205"/>
      <c r="K21" s="203"/>
      <c r="L21" s="206"/>
      <c r="M21" s="206"/>
      <c r="N21" s="203"/>
      <c r="O21" s="206"/>
      <c r="P21" s="206"/>
      <c r="Q21" s="203"/>
      <c r="R21" s="203"/>
      <c r="S21" s="206"/>
      <c r="T21" s="206"/>
      <c r="U21" s="203"/>
      <c r="V21" s="206"/>
      <c r="W21" s="206"/>
      <c r="X21" s="203"/>
    </row>
    <row r="22" spans="1:24" s="204" customFormat="1"/>
  </sheetData>
  <sheetProtection password="CC4D" sheet="1" formatCells="0" formatColumns="0" formatRows="0" insertColumns="0" insertRows="0" selectLockedCells="1"/>
  <mergeCells count="3">
    <mergeCell ref="C1:J1"/>
    <mergeCell ref="A18:M18"/>
    <mergeCell ref="K1:L1"/>
  </mergeCells>
  <phoneticPr fontId="2" type="noConversion"/>
  <pageMargins left="0.7" right="0.7" top="0.75" bottom="0.75" header="0.3" footer="0.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0B050"/>
  </sheetPr>
  <dimension ref="A1:D8"/>
  <sheetViews>
    <sheetView workbookViewId="0">
      <pane xSplit="1" ySplit="1" topLeftCell="B2" activePane="bottomRight" state="frozen"/>
      <selection pane="topRight" activeCell="B1" sqref="B1"/>
      <selection pane="bottomLeft" activeCell="A2" sqref="A2"/>
      <selection pane="bottomRight" activeCell="F8" sqref="F8"/>
    </sheetView>
  </sheetViews>
  <sheetFormatPr defaultRowHeight="17.25"/>
  <cols>
    <col min="1" max="1" width="18.25" style="209" customWidth="1"/>
    <col min="2" max="2" width="44" style="209" customWidth="1"/>
    <col min="3" max="3" width="24.75" style="209" customWidth="1"/>
    <col min="4" max="4" width="16.375" style="207" customWidth="1"/>
    <col min="5" max="16384" width="9" style="207"/>
  </cols>
  <sheetData>
    <row r="1" spans="1:4" ht="21.95" customHeight="1">
      <c r="A1" s="173" t="s">
        <v>123</v>
      </c>
      <c r="B1" s="174" t="s">
        <v>124</v>
      </c>
      <c r="C1" s="175" t="s">
        <v>125</v>
      </c>
    </row>
    <row r="2" spans="1:4" ht="21.95" customHeight="1">
      <c r="A2" s="176" t="s">
        <v>126</v>
      </c>
      <c r="B2" s="177" t="s">
        <v>127</v>
      </c>
      <c r="C2" s="180" t="s">
        <v>128</v>
      </c>
    </row>
    <row r="3" spans="1:4" ht="21.95" customHeight="1">
      <c r="A3" s="176" t="s">
        <v>129</v>
      </c>
      <c r="B3" s="177" t="s">
        <v>130</v>
      </c>
      <c r="C3" s="180" t="s">
        <v>128</v>
      </c>
    </row>
    <row r="4" spans="1:4" ht="21.95" customHeight="1">
      <c r="A4" s="176" t="s">
        <v>131</v>
      </c>
      <c r="B4" s="177" t="s">
        <v>121</v>
      </c>
      <c r="C4" s="180" t="s">
        <v>128</v>
      </c>
    </row>
    <row r="5" spans="1:4" ht="21.95" customHeight="1">
      <c r="A5" s="176" t="s">
        <v>132</v>
      </c>
      <c r="B5" s="177" t="s">
        <v>117</v>
      </c>
      <c r="C5" s="180" t="s">
        <v>128</v>
      </c>
    </row>
    <row r="6" spans="1:4" ht="21.95" customHeight="1">
      <c r="A6" s="179" t="s">
        <v>133</v>
      </c>
      <c r="B6" s="177"/>
      <c r="C6" s="198" t="s">
        <v>140</v>
      </c>
    </row>
    <row r="7" spans="1:4" ht="56.25" customHeight="1">
      <c r="A7" s="179" t="s">
        <v>134</v>
      </c>
      <c r="B7" s="177"/>
      <c r="C7" s="199" t="s">
        <v>141</v>
      </c>
    </row>
    <row r="8" spans="1:4" ht="111" customHeight="1" thickBot="1">
      <c r="A8" s="178" t="s">
        <v>135</v>
      </c>
      <c r="B8" s="229" t="str">
        <f ca="1">""&amp;B2&amp;"、"&amp;B3&amp;",项目金额"&amp;ROUND(正常测算!C5/10000,2)&amp;"万元,实际融资金额"&amp;ROUND((正常测算!C5-正常测算!C6-正常测算!C7)/10000,2)&amp;"万元,服务费"&amp;ROUND(正常测算!G7/10000,2)&amp;"万元,服务费收取比例"&amp;ROUND(正常测算!G7/正常测算!C5*100,2)&amp;"%，年服务费率"&amp;ROUND(正常测算!G7/正常测算!C5/正常测算!E5*100,2)&amp;"%,项目IRR"&amp;ROUND(正常测算!H10*100,2)&amp;"%,净TCR"&amp;ROUND((正常测算!H8-产品成本表!E13)*100,2)&amp;"%,存续TCR"&amp;ROUND(正常测算!G3*100,2)&amp;"%，"&amp;B4&amp;"；指标还原后项目IRR"&amp;ROUND(指标还原!H10*100,2)&amp;"%,净TCR"&amp;ROUND((指标还原!H8-产品成本表!E13)*100,2)&amp;"%,存续TCR"&amp;ROUND(指标还原!G3*100,2)&amp;"%。"&amp;IF(B5="否","","低价主要原因为："&amp;B6&amp;","&amp;B7&amp;"")&amp;"。"</f>
        <v>II 类业务机会、非直转回项目,项目金额10000万元,实际融资金额10000万元,服务费0万元,服务费收取比例0%，年服务费率0%,项目IRR100%,净TCR94%,存续TCR-243.6%，符合客户经理报价权限；指标还原后项目IRR100%,净TCR94%,存续TCR-243.6%。。</v>
      </c>
      <c r="C8" s="230"/>
      <c r="D8" s="208" t="s">
        <v>139</v>
      </c>
    </row>
  </sheetData>
  <mergeCells count="1">
    <mergeCell ref="B8:C8"/>
  </mergeCells>
  <phoneticPr fontId="2" type="noConversion"/>
  <dataValidations count="5">
    <dataValidation type="list" allowBlank="1" showInputMessage="1" showErrorMessage="1" sqref="B2">
      <formula1>"I 类业务机会,II 类业务机会"</formula1>
    </dataValidation>
    <dataValidation type="list" allowBlank="1" showInputMessage="1" showErrorMessage="1" sqref="B3">
      <formula1>"直转回项目,非直转回项目"</formula1>
    </dataValidation>
    <dataValidation type="list" allowBlank="1" showInputMessage="1" showErrorMessage="1" sqref="B4">
      <formula1>"符合客户经理报价权限,使用大区总监报价权限,使用业务部总监权限"</formula1>
    </dataValidation>
    <dataValidation type="list" allowBlank="1" showInputMessage="1" showErrorMessage="1" sqref="B6">
      <formula1>"--,同业低价竞争,外贸新机竞争,大客户营销,新增客户开拓"</formula1>
    </dataValidation>
    <dataValidation type="list" allowBlank="1" showInputMessage="1" showErrorMessage="1" sqref="B5">
      <formula1>"是,否"</formula1>
    </dataValidation>
  </dataValidations>
  <pageMargins left="0.7" right="0.7" top="0.75" bottom="0.75" header="0.3" footer="0.3"/>
  <legacy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
  <sheetViews>
    <sheetView workbookViewId="0">
      <selection activeCell="B4" sqref="B4"/>
    </sheetView>
  </sheetViews>
  <sheetFormatPr defaultRowHeight="16.5"/>
  <cols>
    <col min="1" max="1" width="11.25" style="195" customWidth="1"/>
    <col min="2" max="10" width="11.25" style="194" customWidth="1"/>
    <col min="11" max="11" width="10.25" style="194" customWidth="1"/>
    <col min="12" max="12" width="13.5" style="194" customWidth="1"/>
    <col min="13" max="16384" width="9" style="194"/>
  </cols>
  <sheetData>
    <row r="1" spans="1:12" ht="272.25" customHeight="1">
      <c r="A1" s="231" t="s">
        <v>142</v>
      </c>
      <c r="B1" s="231"/>
      <c r="C1" s="231"/>
      <c r="D1" s="231"/>
      <c r="E1" s="231"/>
      <c r="F1" s="231"/>
      <c r="G1" s="231"/>
      <c r="H1" s="231"/>
      <c r="I1" s="231"/>
      <c r="J1" s="231"/>
      <c r="K1" s="231"/>
      <c r="L1" s="231"/>
    </row>
    <row r="2" spans="1:12" ht="21.95" customHeight="1">
      <c r="K2" s="196"/>
      <c r="L2" s="196" t="s">
        <v>138</v>
      </c>
    </row>
    <row r="3" spans="1:12" ht="21.95" customHeight="1">
      <c r="K3" s="197"/>
      <c r="L3" s="197">
        <v>41723</v>
      </c>
    </row>
  </sheetData>
  <mergeCells count="1">
    <mergeCell ref="A1:L1"/>
  </mergeCells>
  <phoneticPr fontId="2"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6</vt:i4>
      </vt:variant>
    </vt:vector>
  </HeadingPairs>
  <TitlesOfParts>
    <vt:vector size="6" baseType="lpstr">
      <vt:lpstr>正常测算</vt:lpstr>
      <vt:lpstr>指标还原</vt:lpstr>
      <vt:lpstr>产品成本表</vt:lpstr>
      <vt:lpstr>利润预估</vt:lpstr>
      <vt:lpstr>附1-流程意见</vt:lpstr>
      <vt:lpstr>附2-版本说明</vt:lpstr>
    </vt:vector>
  </TitlesOfParts>
  <Company>IFELC</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张岩01</dc:creator>
  <cp:lastModifiedBy>张艳坤</cp:lastModifiedBy>
  <dcterms:created xsi:type="dcterms:W3CDTF">2009-09-11T09:01:47Z</dcterms:created>
  <dcterms:modified xsi:type="dcterms:W3CDTF">2015-07-27T08:05:38Z</dcterms:modified>
</cp:coreProperties>
</file>